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unding\"/>
    </mc:Choice>
  </mc:AlternateContent>
  <bookViews>
    <workbookView xWindow="-15" yWindow="6675" windowWidth="20730" windowHeight="6735"/>
  </bookViews>
  <sheets>
    <sheet name="All info" sheetId="1" r:id="rId1"/>
  </sheets>
  <definedNames>
    <definedName name="_xlnm._FilterDatabase" localSheetId="0" hidden="1">'All info'!$A$1:$AD$52</definedName>
    <definedName name="_xlnm.Print_Titles" localSheetId="0">'All info'!$A:$A,'All info'!$1:$1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1" l="1"/>
  <c r="AA41" i="1"/>
  <c r="AA19" i="1"/>
  <c r="AA17" i="1"/>
  <c r="AA33" i="1"/>
  <c r="AA16" i="1"/>
  <c r="AA14" i="1"/>
  <c r="AA10" i="1"/>
  <c r="X44" i="1"/>
  <c r="X41" i="1"/>
  <c r="X39" i="1"/>
  <c r="X37" i="1"/>
  <c r="X19" i="1"/>
  <c r="X14" i="1"/>
  <c r="X12" i="1"/>
  <c r="X8" i="1"/>
  <c r="X5" i="1"/>
  <c r="O46" i="1"/>
  <c r="O44" i="1"/>
  <c r="O42" i="1"/>
  <c r="O41" i="1"/>
  <c r="O39" i="1"/>
  <c r="O38" i="1"/>
  <c r="O37" i="1"/>
  <c r="O36" i="1"/>
  <c r="O35" i="1"/>
  <c r="O33" i="1"/>
  <c r="O22" i="1"/>
  <c r="O20" i="1"/>
  <c r="O18" i="1"/>
  <c r="O16" i="1"/>
  <c r="O14" i="1"/>
  <c r="O12" i="1"/>
  <c r="O10" i="1"/>
  <c r="K7" i="1"/>
  <c r="K46" i="1"/>
  <c r="K31" i="1"/>
  <c r="K28" i="1"/>
  <c r="K24" i="1"/>
  <c r="K11" i="1"/>
  <c r="K5" i="1"/>
  <c r="F32" i="1"/>
  <c r="F38" i="1"/>
  <c r="F36" i="1"/>
  <c r="F29" i="1"/>
  <c r="F27" i="1"/>
  <c r="F18" i="1"/>
  <c r="F17" i="1"/>
  <c r="F9" i="1"/>
  <c r="F7" i="1"/>
  <c r="F45" i="1"/>
  <c r="F41" i="1"/>
  <c r="F37" i="1"/>
  <c r="G35" i="1"/>
  <c r="F35" i="1"/>
  <c r="F11" i="1"/>
</calcChain>
</file>

<file path=xl/sharedStrings.xml><?xml version="1.0" encoding="utf-8"?>
<sst xmlns="http://schemas.openxmlformats.org/spreadsheetml/2006/main" count="572" uniqueCount="379">
  <si>
    <t>State</t>
  </si>
  <si>
    <t>Base</t>
  </si>
  <si>
    <t>Alabama</t>
  </si>
  <si>
    <t>Alaska</t>
  </si>
  <si>
    <t>Arizona</t>
  </si>
  <si>
    <t>Arkansas</t>
  </si>
  <si>
    <t>California</t>
  </si>
  <si>
    <t>Colorado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</si>
  <si>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</si>
  <si>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</si>
  <si>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</si>
  <si>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</si>
  <si>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</si>
  <si>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</si>
  <si>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</si>
  <si>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</si>
  <si>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</si>
  <si>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</si>
  <si>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</si>
  <si>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</si>
  <si>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</si>
  <si>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</si>
  <si>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</si>
  <si>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</si>
  <si>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</si>
  <si>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</si>
  <si>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</si>
  <si>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</si>
  <si>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</si>
  <si>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</si>
  <si>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</si>
  <si>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</si>
  <si>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</si>
  <si>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</si>
  <si>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</si>
  <si>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</si>
  <si>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</si>
  <si>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</si>
  <si>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</si>
  <si>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</si>
  <si>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</si>
  <si>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</si>
  <si>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</si>
  <si>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</si>
  <si>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</si>
  <si>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</si>
  <si>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West Virginia</t>
  </si>
  <si>
    <t>Wisconsin</t>
  </si>
  <si>
    <t>Wyoming</t>
  </si>
  <si>
    <t>Connecticut</t>
  </si>
  <si>
    <t>Ohio</t>
  </si>
  <si>
    <t>Bilingual education program enrollment</t>
  </si>
  <si>
    <t>ELL Weight</t>
  </si>
  <si>
    <t>ELL Indicator</t>
  </si>
  <si>
    <t>(Formula)</t>
  </si>
  <si>
    <t>(Categorical)</t>
  </si>
  <si>
    <t>FRL</t>
  </si>
  <si>
    <t>30:1 teacher allocation, plus 300:1 interpreter allocation</t>
  </si>
  <si>
    <t>20:1 teacher allocation</t>
  </si>
  <si>
    <t>Grade</t>
  </si>
  <si>
    <t>K-3
4-6
7-8
9-12</t>
  </si>
  <si>
    <t>K
1-12</t>
  </si>
  <si>
    <t>.5
1.0</t>
  </si>
  <si>
    <t>K
1-3
4-5
6-8
9-12</t>
  </si>
  <si>
    <t>K
1-6
7-12</t>
  </si>
  <si>
    <t>16-40:1
12-20:1
12-18.5:1</t>
  </si>
  <si>
    <t>K
1-5
6-8
9-12</t>
  </si>
  <si>
    <t>$5,149.54
$5,180.35
$5,433.12
$5,667.16</t>
  </si>
  <si>
    <t>.6
1.0</t>
  </si>
  <si>
    <t>K
1-8
9-12</t>
  </si>
  <si>
    <t>.6
1.00
1.20</t>
  </si>
  <si>
    <t>K
1
2-3
4-6
7-12</t>
  </si>
  <si>
    <t>1.44
1.20
1.18
1.045
1.25</t>
  </si>
  <si>
    <t>K-6
7-12</t>
  </si>
  <si>
    <t>K
1-6
7-8
9-12</t>
  </si>
  <si>
    <t>.5832
.9490-1.3121
.9807
1.0362-1.4712</t>
  </si>
  <si>
    <t>1.00
1.36</t>
  </si>
  <si>
    <t>K
1-3
4-8
9-12</t>
  </si>
  <si>
    <t>1.30
1.24
1.00
1.25</t>
  </si>
  <si>
    <t>K-3
4-6
7-9
10-12</t>
  </si>
  <si>
    <t>K-3
4
5-12</t>
  </si>
  <si>
    <t>18.05-20.4:1
18.05-21.7:1
21.7:1</t>
  </si>
  <si>
    <t>Foundation</t>
  </si>
  <si>
    <t>Modified foundation</t>
  </si>
  <si>
    <t>yes</t>
  </si>
  <si>
    <t>Virginia</t>
  </si>
  <si>
    <t>District Poverty Factor</t>
  </si>
  <si>
    <t>SWD Indicator</t>
  </si>
  <si>
    <t>$1,549
$1,033
$517</t>
  </si>
  <si>
    <t>free meals</t>
  </si>
  <si>
    <t>$2,767-$3,422</t>
  </si>
  <si>
    <t>Free meals</t>
  </si>
  <si>
    <t>0.5 (reduced)
1.0 (free)</t>
  </si>
  <si>
    <t>.05-.30</t>
  </si>
  <si>
    <t>ELL instruction</t>
  </si>
  <si>
    <t>Special education
3rd grader not proficient and not sp.ed.</t>
  </si>
  <si>
    <t>.47 if &lt;20%
.57 if &gt;60%</t>
  </si>
  <si>
    <t>$428/pp if &gt;40% at-risk</t>
  </si>
  <si>
    <t>1.41 (sp.ed.)
.5 (declassified sp.ed)
.25 (special needs)</t>
  </si>
  <si>
    <t>~$79.5M statewide</t>
  </si>
  <si>
    <t>food stamps</t>
  </si>
  <si>
    <t xml:space="preserve">home language  </t>
  </si>
  <si>
    <t>ESOL</t>
  </si>
  <si>
    <t>LEP</t>
  </si>
  <si>
    <t>LEP instruction</t>
  </si>
  <si>
    <t>ESL</t>
  </si>
  <si>
    <t>$198M statewide</t>
  </si>
  <si>
    <t>$637-$2,325</t>
  </si>
  <si>
    <t>$1.2M statewide</t>
  </si>
  <si>
    <t>$24.95M statewide</t>
  </si>
  <si>
    <t>n/a</t>
  </si>
  <si>
    <t>alternative learning environment</t>
  </si>
  <si>
    <t>&gt;55% disadvantaged</t>
  </si>
  <si>
    <t>12-30%</t>
  </si>
  <si>
    <t>$1,250 + $6,000 (severe)</t>
  </si>
  <si>
    <t>$980M statewide</t>
  </si>
  <si>
    <t>At-Risk Weight</t>
  </si>
  <si>
    <t>$150-$450</t>
  </si>
  <si>
    <t>IEP</t>
  </si>
  <si>
    <t>$5,226 (K-6)
$6,691 (7-12)</t>
  </si>
  <si>
    <t>$220,560 statewide</t>
  </si>
  <si>
    <t>$3.5M statewide</t>
  </si>
  <si>
    <t>.5-1.0
1.00
1.12
1.20</t>
  </si>
  <si>
    <t>1.26 or $16,090</t>
  </si>
  <si>
    <t>K
1-3
4-6
7-8
9
10-12</t>
  </si>
  <si>
    <t>18:1
17:1
24:1
23:1
26.5:1
29:1</t>
  </si>
  <si>
    <t>$1,200-$4,750</t>
  </si>
  <si>
    <t>$5.5B statewide</t>
  </si>
  <si>
    <t>yes, if above $62,760/pp</t>
  </si>
  <si>
    <t>20:1
25:1
25:1
22.08:1</t>
  </si>
  <si>
    <t xml:space="preserve"> 9-12</t>
  </si>
  <si>
    <t>.55
.9
.99
1.2</t>
  </si>
  <si>
    <t>included in at-risk</t>
  </si>
  <si>
    <t>$2.6M statewide</t>
  </si>
  <si>
    <t>1.00
1.13</t>
  </si>
  <si>
    <t>1,000:1</t>
  </si>
  <si>
    <t>$4.5B statewide</t>
  </si>
  <si>
    <t>50%+</t>
  </si>
  <si>
    <t>$237K statewide</t>
  </si>
  <si>
    <t>$3M statewide</t>
  </si>
  <si>
    <t>$109M statewide</t>
  </si>
  <si>
    <t>$8.6M statewide</t>
  </si>
  <si>
    <t>reimbursement</t>
  </si>
  <si>
    <t>D.C.</t>
  </si>
  <si>
    <t>size and isolation</t>
  </si>
  <si>
    <t xml:space="preserve">size  </t>
  </si>
  <si>
    <t>Small School/ District Factor</t>
  </si>
  <si>
    <t>isolation</t>
  </si>
  <si>
    <t>size</t>
  </si>
  <si>
    <t>no</t>
  </si>
  <si>
    <t>sparsity</t>
  </si>
  <si>
    <t>size, sparsity, isolation</t>
  </si>
  <si>
    <t>size, isolation</t>
  </si>
  <si>
    <t xml:space="preserve">size, sparsity </t>
  </si>
  <si>
    <t>sparsity, poverty</t>
  </si>
  <si>
    <t>At-Risk Indicator</t>
  </si>
  <si>
    <t>15:1
17:1
23:1
23:1
23:1</t>
  </si>
  <si>
    <t>1.6519
1.2853
1.0356
1.0279
1.000</t>
  </si>
  <si>
    <t>$3,119
$6,238
$6,223
$6,454</t>
  </si>
  <si>
    <t>16:1
16:1
21:1
21:1</t>
  </si>
  <si>
    <t>FRL
test scores</t>
  </si>
  <si>
    <t>Medicaid
SNAP
TANF</t>
  </si>
  <si>
    <t>low income
ELL</t>
  </si>
  <si>
    <t>Pregnant/Parenting
poverty
neglected/delinquent
foster</t>
  </si>
  <si>
    <t>FRL
FRL &amp; pregnant</t>
  </si>
  <si>
    <t>test scores
poverty
mobility
LEP</t>
  </si>
  <si>
    <t>At-Risk Allocation</t>
  </si>
  <si>
    <t>Grade Weight</t>
  </si>
  <si>
    <t>Grade Allocation</t>
  </si>
  <si>
    <t>ELL Allocation</t>
  </si>
  <si>
    <t>SWD Allocation</t>
  </si>
  <si>
    <t>SWD Weight</t>
  </si>
  <si>
    <t>Gifted Allocation</t>
  </si>
  <si>
    <t>Gifted Weight</t>
  </si>
  <si>
    <t>VoTech Weight</t>
  </si>
  <si>
    <t>English proficiency test</t>
  </si>
  <si>
    <t>$704 times the greater of 20 or the number of eligible ELL
Add'l $250 if &gt;11.5%</t>
  </si>
  <si>
    <t>$143/pp, plus 33% for low income districts
Additional $12.5M statewide</t>
  </si>
  <si>
    <t>special education, special services, home/hospital instruction</t>
  </si>
  <si>
    <t>Exceptional, migrant, ELL, Gifted, before/after school</t>
  </si>
  <si>
    <t>Remedial
Alternative</t>
  </si>
  <si>
    <t>1.3092
1.4717</t>
  </si>
  <si>
    <t>grants/ADA</t>
  </si>
  <si>
    <t>Complexity Index including free textbooks</t>
  </si>
  <si>
    <t>&gt;35% free meals</t>
  </si>
  <si>
    <t>.15/ADM</t>
  </si>
  <si>
    <t>$317M statewide cap</t>
  </si>
  <si>
    <t>&gt;80%</t>
  </si>
  <si>
    <t>0.25/ADA if &gt;38.8%</t>
  </si>
  <si>
    <t>&gt;38.8%</t>
  </si>
  <si>
    <t>remedial
at-risk</t>
  </si>
  <si>
    <t>&gt;90%
80-90%
&lt;80%</t>
  </si>
  <si>
    <t>20.5:1
20:1
19.5:1</t>
  </si>
  <si>
    <t>FRL in grades 3-8</t>
  </si>
  <si>
    <t>.025/ADM</t>
  </si>
  <si>
    <t>1.0/ADM
0.25
0.25
0.25</t>
  </si>
  <si>
    <t>530.19/ADM</t>
  </si>
  <si>
    <t>.20/ADA
2.41/FTE</t>
  </si>
  <si>
    <t>FRL
ELL
mobile (6-12)</t>
  </si>
  <si>
    <t>Average Expenditure/pp (ADA)</t>
  </si>
  <si>
    <t>30 months for schools with 20+ ELL</t>
  </si>
  <si>
    <t>LEP 
LEP &amp; AYP</t>
  </si>
  <si>
    <t>$263
$450k statewide</t>
  </si>
  <si>
    <t>up to 5 years</t>
  </si>
  <si>
    <t>.395/FTE</t>
  </si>
  <si>
    <t>ELL</t>
  </si>
  <si>
    <t>.60 if &gt;1.8%/ADA</t>
  </si>
  <si>
    <t xml:space="preserve">no </t>
  </si>
  <si>
    <t>.5/FTE</t>
  </si>
  <si>
    <t>20 LEP or 2.5% LEP/ADM</t>
  </si>
  <si>
    <t>up to 10.6% ADM</t>
  </si>
  <si>
    <t>$750; $1,125; or $1,500</t>
  </si>
  <si>
    <t>1,000:17</t>
  </si>
  <si>
    <t>100:1</t>
  </si>
  <si>
    <t>VocTech Allocation</t>
  </si>
  <si>
    <t>ELL special education</t>
  </si>
  <si>
    <t>11 categories for special education</t>
  </si>
  <si>
    <t>special education programs</t>
  </si>
  <si>
    <t>$3.2B statewide</t>
  </si>
  <si>
    <t>per ADA</t>
  </si>
  <si>
    <t>14 categories</t>
  </si>
  <si>
    <t>$161M statewide</t>
  </si>
  <si>
    <t>3 categories (basic, intensive, complex)</t>
  </si>
  <si>
    <t>teacher allocation</t>
  </si>
  <si>
    <t>2.3810
2.7903
3.5520
5.7555
2.4520</t>
  </si>
  <si>
    <t>5 categories (i)
(ii)
(iii)
(iv)
(v)</t>
  </si>
  <si>
    <t>teacher/staff allocation</t>
  </si>
  <si>
    <t>grants</t>
  </si>
  <si>
    <t>5 categories (sever)
(mild/moderate)
(communication)
(homebound)
(special preschool)</t>
  </si>
  <si>
    <t>$8,350
$2,265
$533
$533
$2,750</t>
  </si>
  <si>
    <t>.72
1.21
2.74</t>
  </si>
  <si>
    <t>IEP, 3 categories</t>
  </si>
  <si>
    <t>teachers, parapros</t>
  </si>
  <si>
    <t>3 categories</t>
  </si>
  <si>
    <t>.24
1.17
2.35</t>
  </si>
  <si>
    <t>$272M statewide</t>
  </si>
  <si>
    <t>40% reimbursement</t>
  </si>
  <si>
    <t>partial reimbursement</t>
  </si>
  <si>
    <t>partial, capped reimbursements</t>
  </si>
  <si>
    <t xml:space="preserve">IEP  </t>
  </si>
  <si>
    <t>.75 for &gt;13.2% ADA</t>
  </si>
  <si>
    <t>grants and reimbursements</t>
  </si>
  <si>
    <t xml:space="preserve">.7
.7
1.0
2.0
</t>
  </si>
  <si>
    <t>per classroom</t>
  </si>
  <si>
    <t>4 categories of special ed or gifted classrooms</t>
  </si>
  <si>
    <t>included in SWD</t>
  </si>
  <si>
    <t>up to 12.5% ADM</t>
  </si>
  <si>
    <t>per ADM</t>
  </si>
  <si>
    <t>weight and reimbursement</t>
  </si>
  <si>
    <t>6 categories (speech and language)
(learning)
(hearing/behavior)
(vision/impairment)
(orthopedic)
(brain)</t>
  </si>
  <si>
    <t>$1,517
$3,849
$9,248
$12,342
$16,715
$24,641</t>
  </si>
  <si>
    <t>3.8
.4
2.9
1.3
2.5
2.4
1.2
0.05
3.8
1.2
2.4
2.4</t>
  </si>
  <si>
    <t>1.0 for up to 11% ADM</t>
  </si>
  <si>
    <t>weight and grant</t>
  </si>
  <si>
    <t>10 categories (mental)
(learning)
(mental)
(emotional)
(orthopedic)
(vision)
(hearing)
(speech)
(homebound)
(autism)</t>
  </si>
  <si>
    <t>5.0
3.0
5.0
3.0
3.0
3.0
2.7
1.7
2.3
1.1</t>
  </si>
  <si>
    <t>weight per FTE, except mainstream</t>
  </si>
  <si>
    <t>10 categories (homebound)
(hospital class)
(speech)
(resource room)
(mild/moderate)
(severe)
(off home campus)
(non-public day)
(vocational)
(mainstream/ADA)</t>
  </si>
  <si>
    <t>appox. 60% reimbursement</t>
  </si>
  <si>
    <t>100% reimbursement</t>
  </si>
  <si>
    <t xml:space="preserve">11 categories  </t>
  </si>
  <si>
    <t>block funding</t>
  </si>
  <si>
    <t>grant</t>
  </si>
  <si>
    <t>included in special education</t>
  </si>
  <si>
    <t>subsidy</t>
  </si>
  <si>
    <t>ADM</t>
  </si>
  <si>
    <t>$250K statewide</t>
  </si>
  <si>
    <t>.04/ADM</t>
  </si>
  <si>
    <t>50-month base ADM
 plus $10k if &lt;3k ADM</t>
  </si>
  <si>
    <t>grades 8-12</t>
  </si>
  <si>
    <t>$5/ADM + 3300:1+1100:1</t>
  </si>
  <si>
    <t>funds, coordinator, and specialist</t>
  </si>
  <si>
    <t>included with special education</t>
  </si>
  <si>
    <t>up to 5% ADA</t>
  </si>
  <si>
    <t>per WPU</t>
  </si>
  <si>
    <t>up to 2.314% enrollment</t>
  </si>
  <si>
    <t xml:space="preserve">2.5 applied to 5% ADM </t>
  </si>
  <si>
    <t>1.4 applied to 7.4% of ADM for middle school grades
2.0 applied to 16.5% ADM for high school grades</t>
  </si>
  <si>
    <t>14.25:1
21.85:1
20.20:1
18.45:1</t>
  </si>
  <si>
    <t>Block funding</t>
  </si>
  <si>
    <t>1.015 to district's adjusted ADM (after Special Ed)</t>
  </si>
  <si>
    <t>1.2 to district's adjusted ADM for special ed (ADM adjusted for district size, hold harmless, and district cost factors)
13 ADM for each intenstive special ed students added to ADM (after VocTech)</t>
  </si>
  <si>
    <t>Bilingual/bicultural education; included as part of "Special Needs"</t>
  </si>
  <si>
    <t>See SWD weight</t>
  </si>
  <si>
    <t>.003-7.947</t>
  </si>
  <si>
    <t>K-8
9-12
Additional weight for K-3</t>
  </si>
  <si>
    <t>1.158
1.268
.060</t>
  </si>
  <si>
    <t>1.104
1.000
1.000
1.026</t>
  </si>
  <si>
    <t>$6,845 (K-3)
$6,947 (4-6)
$7,154 (7-8)
$8,289 (9-12)</t>
  </si>
  <si>
    <t>"Special Needs" = vocational education (but CTE is separate), special education (except intensive services), gifted, and bilingual/bicultural education
District must file a plan with the department indicating special needs funding</t>
  </si>
  <si>
    <t>Disadvantaged = ELL, FRL and students in their households, migrant, homeless, Food Distribution on Indian Reservation participants, foster, food stamps or welfare recipients (unduplicated count)</t>
  </si>
  <si>
    <t>1.200 of adjusted base rate (supplemental grants)
1.500 of adjusted base rate for each student above 55 percent of enrollment (concentration grants)</t>
  </si>
  <si>
    <t>2.6% (included in 9-12 adjusted base)</t>
  </si>
  <si>
    <t>$6,267 (2012-2013 -- per AR DoE website)</t>
  </si>
  <si>
    <t>&gt;90% enrollment (0.25)
70-89.9% (0.16)
&lt;70% (0.08)</t>
  </si>
  <si>
    <t>0.05 --- When ELL is combined with FRL funding, equivalent weighting reaches 0.3, 0.21, and 0.13 for the three levels.</t>
  </si>
  <si>
    <t>5% ADM</t>
  </si>
  <si>
    <t>No additional state funding</t>
  </si>
  <si>
    <t>Multiple categories</t>
  </si>
  <si>
    <t>0.71 if 100% mainstreamed; up to 3.6 for students who must be in a self-contained class with no more than 5 other students</t>
  </si>
  <si>
    <t>$4,496-$22,797</t>
  </si>
  <si>
    <t>K-3
4-8
9-12</t>
  </si>
  <si>
    <t>1.089 
1.000
1.031
FlDoE 2014/15: 1.126
1.000
1.004</t>
  </si>
  <si>
    <t>SWD and gifted (exceptional student education)</t>
  </si>
  <si>
    <t>1.089 (basic, pk-3)
1.031 (9-12)
3.523-4.935 (intense)
FDoE 2014/15
1.126 (K-3)
1.000 (4-8)
1.004 (9-12)
3.548 (Support level 4)
5.104 (Support level 5)</t>
  </si>
  <si>
    <t>Grades 9-12</t>
  </si>
  <si>
    <t>ELL by English proficiency
FEP
LEP
NEP</t>
  </si>
  <si>
    <t xml:space="preserve">yes
+$400 per student if:
Elem &lt; 400
Middle &lt; 700
High &lt; 1,150 </t>
  </si>
  <si>
    <t xml:space="preserve">0.063
0.1891
0.3782 </t>
  </si>
  <si>
    <t>0.15
0.0
.0425
0.0</t>
  </si>
  <si>
    <t>K-2
Elementary
Middle
High</t>
  </si>
  <si>
    <t>$22,401 per support unit (roughly one classroom)</t>
  </si>
  <si>
    <t>No more than 5% of K-8 can qualify</t>
  </si>
  <si>
    <t>yes
Spec Ed Summer School</t>
  </si>
  <si>
    <t>1.0
.03</t>
  </si>
  <si>
    <t>Percent FRL in grades
 1-6 x budget enrollment x .00642</t>
  </si>
  <si>
    <t>Funding for transportation to vocational schools</t>
  </si>
  <si>
    <t>16 categories of disability, but no tiers based on severity</t>
  </si>
  <si>
    <t>&lt; 7,500 receives funding on a sliding scale from 0.0 to 0.2.</t>
  </si>
  <si>
    <t>.525
.5
.7</t>
  </si>
  <si>
    <t>ESL
More than 251 students
Between 15 and 251
Fewer than 15</t>
  </si>
  <si>
    <t>yes
Per district basis for essential programs and services (EPS), ranging from $3.4k to $7.5k</t>
  </si>
  <si>
    <t>yes
Low severity
Autism</t>
  </si>
  <si>
    <t>1.0
4.3</t>
  </si>
  <si>
    <t>low income 
Academic performance, grade 9</t>
  </si>
  <si>
    <t>ELD level 1-3, grades K-5</t>
  </si>
  <si>
    <t>.07-.34, depending on grade
0.09</t>
  </si>
  <si>
    <t>K (half day)
K (full day) - 8
9-12</t>
  </si>
  <si>
    <t xml:space="preserve">
.55 (.45 less than base)
0.0
1.200</t>
  </si>
  <si>
    <t>$2,995 if &gt;80%
.525 cents reimbursement for reduced price meals.</t>
  </si>
  <si>
    <t>size, isolation
Sparsity: HS with fewer than 400 students
Elementary with fewer than 20 pupils per grade</t>
  </si>
  <si>
    <t>Bill proposed for .6 weight</t>
  </si>
  <si>
    <t>K-5
6-8
9-12</t>
  </si>
  <si>
    <t>1.00
1.08
1.03</t>
  </si>
  <si>
    <t>max 12.7% enrollment
Federal funds are subtracted</t>
  </si>
  <si>
    <t>Based on district need and proficiency levels of students</t>
  </si>
  <si>
    <t>0.01 (students enrolled in AP, dual credit, or IB)</t>
  </si>
  <si>
    <t>$29.41/ ADM</t>
  </si>
  <si>
    <t>0.29 (Based on weighted student count, provide an additional teacher for every 21 students.)
Additional allocations for equipment/materials</t>
  </si>
  <si>
    <t>0.12
Ranging from 0.20 to 0.50 depending on grade and severity</t>
  </si>
  <si>
    <t>Poverty
Academic performance</t>
  </si>
  <si>
    <t>Home language and English proficiency test
ELL K-5
ELL 6-12</t>
  </si>
  <si>
    <t>0.4
0.5</t>
  </si>
  <si>
    <t>CTE Nursing
CTEHealth/Trade/Tech
CTE Business
CTE Home Ec/Arts</t>
  </si>
  <si>
    <t>.26
.17
.12
.05</t>
  </si>
  <si>
    <t>yes
Foundation sum of $225,000 per school</t>
  </si>
  <si>
    <t>size, isolation
Additional funds to LEAs with less than 3,239 ADM.</t>
  </si>
  <si>
    <t>Additional funds to LEAs that can't generate revenue to support schools at the state average</t>
  </si>
  <si>
    <t>English proficiency test
ELL Level 1
ELL Level 2
ELL Level 3</t>
  </si>
  <si>
    <t>0.3
0.2
0.07</t>
  </si>
  <si>
    <t>.082 ADM</t>
  </si>
  <si>
    <t>$800K statewide
$25 per pupil</t>
  </si>
  <si>
    <t>Poverty index
Multiplies a base weight of .1 by the district's FRL ratio compared to the state average. Max weight is 0.24.</t>
  </si>
  <si>
    <t>ELL
Bilingual
LEP</t>
  </si>
  <si>
    <t>$1,517
$3,849
$9,248
$12,342
$16,715
$24,641
Weights range from .2906 to 4.7205</t>
  </si>
  <si>
    <t>K (half day)
K (full day)
1-2
3
4-6
7-12</t>
  </si>
  <si>
    <t>1.3
1.5
1.351
1.051
1.00
1.20</t>
  </si>
  <si>
    <t>12 categories (vision)
(learning)
(hearing)
(intellctual)
(emotional)
(multiple)
(physical)
(speech)
(deaf &amp; blind)
(summer)
(autism)
(traumatic brain)</t>
  </si>
  <si>
    <t>size &amp; isolation as determined by a formula</t>
  </si>
  <si>
    <t>.5 (half base)
1.0 (no adj.)</t>
  </si>
  <si>
    <t>.7
16.67:1
Funding for transportation to career/tech provided</t>
  </si>
  <si>
    <t>~$24.4M statewide
4% of state appropriation for Enhancement for At-Risk students, divided among eligible LEAs
20% of the above appropriation to LEAs with at least 75% poverty
Remaining funds distributed based on percentage of students with at-risk factors</t>
  </si>
  <si>
    <t>Additional 1.53 WPU (based on weighted growth) for each SWD enrolled in regular programs 
Students who are in self-contained settings for 180 minutes or more each day receive additional WPUs (based on prior years' WPUs)
Grant program for extraordinarily expensive services</t>
  </si>
  <si>
    <t>per WPU (unspecified, based on prior years and growth)</t>
  </si>
  <si>
    <t>1.48 to 2.43</t>
  </si>
  <si>
    <t>.20 to .66</t>
  </si>
  <si>
    <t>1.74
1.74
2.04
2.04
2.04
2.57
2.57
1.90
2.10
2.57</t>
  </si>
  <si>
    <t>size, isolation
&lt; 200 students -- .2
less than 600 but more than 200 students -.0005 to .1995</t>
  </si>
  <si>
    <t>$1,915.86 (sp.ed.)
$697.77 (3rd grade)</t>
  </si>
  <si>
    <t>.25 (LEP only)
0.125 (LEP and low income)</t>
  </si>
  <si>
    <t>K-3 Weight</t>
  </si>
  <si>
    <t>9-12 Weight</t>
  </si>
  <si>
    <t>At-Risk Weight (for calculations)</t>
  </si>
  <si>
    <t>ELL Weight (for calculations)</t>
  </si>
  <si>
    <t>SWD Weight 1 (For calculations)</t>
  </si>
  <si>
    <t>SWD Weight 3 (For calculations)</t>
  </si>
  <si>
    <t>SWD Weight 2 (For calculations)</t>
  </si>
  <si>
    <t>Gifted Weight (for calculations)</t>
  </si>
  <si>
    <t>VoTech Weight (for calculations)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</si>
</sst>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6" fontId="0" fillId="0" borderId="1" xfId="0" applyNumberFormat="1" applyBorder="1" applyAlignment="1">
      <alignment wrapText="1"/>
    </xf>
    <xf numFmtId="8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wrapText="1"/>
    </xf>
    <xf numFmtId="6" fontId="0" fillId="2" borderId="1" xfId="0" applyNumberForma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6" fontId="0" fillId="3" borderId="1" xfId="0" applyNumberFormat="1" applyFill="1" applyBorder="1" applyAlignment="1">
      <alignment wrapText="1"/>
    </xf>
    <xf numFmtId="8" fontId="0" fillId="3" borderId="1" xfId="0" applyNumberForma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6" fontId="0" fillId="5" borderId="1" xfId="0" applyNumberForma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6" fontId="0" fillId="6" borderId="1" xfId="0" applyNumberFormat="1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8" fontId="0" fillId="2" borderId="1" xfId="0" applyNumberFormat="1" applyFill="1" applyBorder="1" applyAlignment="1">
      <alignment wrapText="1"/>
    </xf>
    <xf numFmtId="8" fontId="0" fillId="5" borderId="1" xfId="0" applyNumberFormat="1" applyFill="1" applyBorder="1" applyAlignment="1">
      <alignment wrapText="1"/>
    </xf>
    <xf numFmtId="16" fontId="0" fillId="4" borderId="1" xfId="0" applyNumberFormat="1" applyFill="1" applyBorder="1" applyAlignment="1">
      <alignment wrapText="1"/>
    </xf>
    <xf numFmtId="6" fontId="0" fillId="4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6" fontId="0" fillId="2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6" fontId="0" fillId="7" borderId="1" xfId="0" applyNumberFormat="1" applyFill="1" applyBorder="1" applyAlignment="1">
      <alignment wrapText="1"/>
    </xf>
    <xf numFmtId="8" fontId="0" fillId="7" borderId="1" xfId="0" applyNumberFormat="1" applyFill="1" applyBorder="1" applyAlignment="1">
      <alignment wrapText="1"/>
    </xf>
    <xf numFmtId="8" fontId="0" fillId="4" borderId="1" xfId="0" applyNumberFormat="1" applyFill="1" applyBorder="1" applyAlignment="1">
      <alignment wrapText="1"/>
    </xf>
    <xf numFmtId="10" fontId="0" fillId="7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6" fontId="0" fillId="8" borderId="1" xfId="0" applyNumberFormat="1" applyFill="1" applyBorder="1" applyAlignment="1">
      <alignment wrapText="1"/>
    </xf>
    <xf numFmtId="164" fontId="0" fillId="8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7" borderId="1" xfId="0" applyNumberForma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43" fontId="0" fillId="2" borderId="1" xfId="1" applyFont="1" applyFill="1" applyBorder="1" applyAlignment="1">
      <alignment wrapText="1"/>
    </xf>
    <xf numFmtId="43" fontId="0" fillId="7" borderId="1" xfId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zoomScaleNormal="100" workbookViewId="0">
      <pane xSplit="1" ySplit="1" topLeftCell="F11" activePane="bottomRight" state="frozen"/>
      <selection pane="topRight" activeCell="B1" sqref="B1"/>
      <selection pane="bottomLeft" activeCell="A2" sqref="A2"/>
      <selection pane="bottomRight" activeCell="O8" sqref="O8"/>
    </sheetView>
  </sheetViews>
  <sheetFormatPr defaultColWidth="18.7109375" defaultRowHeight="15" x14ac:dyDescent="0.25"/>
  <cols>
    <col min="1" max="1" width="15.28515625" style="2" bestFit="1" customWidth="1"/>
    <col min="2" max="2" width="15.85546875" style="1" bestFit="1" customWidth="1"/>
    <col min="3" max="3" width="15.140625" style="36" bestFit="1" customWidth="1"/>
    <col min="4" max="4" width="19.5703125" style="14" customWidth="1"/>
    <col min="5" max="5" width="13.85546875" style="14" bestFit="1" customWidth="1"/>
    <col min="6" max="7" width="13.85546875" style="14" customWidth="1"/>
    <col min="8" max="8" width="16" style="14" bestFit="1" customWidth="1"/>
    <col min="9" max="9" width="23.28515625" style="26" bestFit="1" customWidth="1"/>
    <col min="10" max="11" width="19.28515625" style="4" customWidth="1"/>
    <col min="12" max="12" width="17.85546875" style="4" customWidth="1"/>
    <col min="13" max="13" width="23.85546875" style="10" bestFit="1" customWidth="1"/>
    <col min="14" max="14" width="23.42578125" style="10" bestFit="1" customWidth="1"/>
    <col min="15" max="15" width="23.42578125" style="10" customWidth="1"/>
    <col min="16" max="16" width="25.42578125" style="10" bestFit="1" customWidth="1"/>
    <col min="17" max="17" width="21.140625" style="15" bestFit="1" customWidth="1"/>
    <col min="18" max="21" width="22.7109375" style="15" customWidth="1"/>
    <col min="22" max="22" width="25.28515625" style="15" bestFit="1" customWidth="1"/>
    <col min="23" max="23" width="20.140625" style="14" bestFit="1" customWidth="1"/>
    <col min="24" max="24" width="20.140625" style="14" customWidth="1"/>
    <col min="25" max="25" width="18.42578125" style="14" bestFit="1" customWidth="1"/>
    <col min="26" max="26" width="20.28515625" style="29" bestFit="1" customWidth="1"/>
    <col min="27" max="27" width="20.28515625" style="29" customWidth="1"/>
    <col min="28" max="28" width="17.42578125" style="29" bestFit="1" customWidth="1"/>
    <col min="29" max="29" width="15.5703125" style="19" bestFit="1" customWidth="1"/>
    <col min="30" max="30" width="16.85546875" style="19" bestFit="1" customWidth="1"/>
    <col min="31" max="16384" width="18.7109375" style="1"/>
  </cols>
  <sheetData>
    <row r="1" spans="1:30" ht="45" x14ac:dyDescent="0.25">
      <c r="A1" s="2" t="s">
        <v>0</v>
      </c>
      <c r="B1" s="2" t="s">
        <v>1</v>
      </c>
      <c r="C1" s="35" t="s">
        <v>199</v>
      </c>
      <c r="D1" s="13" t="s">
        <v>59</v>
      </c>
      <c r="E1" s="13" t="s">
        <v>167</v>
      </c>
      <c r="F1" s="13" t="s">
        <v>370</v>
      </c>
      <c r="G1" s="13" t="s">
        <v>371</v>
      </c>
      <c r="H1" s="13" t="s">
        <v>168</v>
      </c>
      <c r="I1" s="7" t="s">
        <v>155</v>
      </c>
      <c r="J1" s="7" t="s">
        <v>116</v>
      </c>
      <c r="K1" s="7" t="s">
        <v>372</v>
      </c>
      <c r="L1" s="7" t="s">
        <v>166</v>
      </c>
      <c r="M1" s="9" t="s">
        <v>53</v>
      </c>
      <c r="N1" s="9" t="s">
        <v>52</v>
      </c>
      <c r="O1" s="9" t="s">
        <v>373</v>
      </c>
      <c r="P1" s="9" t="s">
        <v>169</v>
      </c>
      <c r="Q1" s="16" t="s">
        <v>87</v>
      </c>
      <c r="R1" s="16" t="s">
        <v>171</v>
      </c>
      <c r="S1" s="16" t="s">
        <v>374</v>
      </c>
      <c r="T1" s="16" t="s">
        <v>376</v>
      </c>
      <c r="U1" s="16" t="s">
        <v>375</v>
      </c>
      <c r="V1" s="16" t="s">
        <v>170</v>
      </c>
      <c r="W1" s="13" t="s">
        <v>173</v>
      </c>
      <c r="X1" s="13" t="s">
        <v>377</v>
      </c>
      <c r="Y1" s="13" t="s">
        <v>172</v>
      </c>
      <c r="Z1" s="28" t="s">
        <v>174</v>
      </c>
      <c r="AA1" s="28" t="s">
        <v>378</v>
      </c>
      <c r="AB1" s="28" t="s">
        <v>214</v>
      </c>
      <c r="AC1" s="18" t="s">
        <v>86</v>
      </c>
      <c r="AD1" s="18" t="s">
        <v>146</v>
      </c>
    </row>
    <row r="2" spans="1:30" ht="105" x14ac:dyDescent="0.25">
      <c r="A2" s="2" t="s">
        <v>2</v>
      </c>
      <c r="C2" s="36">
        <v>9365</v>
      </c>
      <c r="D2" s="14" t="s">
        <v>60</v>
      </c>
      <c r="H2" s="14" t="s">
        <v>278</v>
      </c>
      <c r="I2" s="26" t="s">
        <v>160</v>
      </c>
      <c r="M2" s="10" t="s">
        <v>105</v>
      </c>
      <c r="N2" s="10" t="s">
        <v>55</v>
      </c>
      <c r="R2" s="15" t="s">
        <v>276</v>
      </c>
      <c r="W2" s="14" t="s">
        <v>110</v>
      </c>
      <c r="Z2" s="29" t="s">
        <v>277</v>
      </c>
      <c r="AD2" s="19" t="s">
        <v>110</v>
      </c>
    </row>
    <row r="3" spans="1:30" ht="195" x14ac:dyDescent="0.25">
      <c r="A3" s="2" t="s">
        <v>3</v>
      </c>
      <c r="B3" s="37">
        <v>5830</v>
      </c>
      <c r="C3" s="37">
        <v>21443</v>
      </c>
      <c r="D3" s="14" t="s">
        <v>82</v>
      </c>
      <c r="I3" s="26" t="s">
        <v>110</v>
      </c>
      <c r="M3" s="10" t="s">
        <v>282</v>
      </c>
      <c r="N3" s="10" t="s">
        <v>283</v>
      </c>
      <c r="O3" s="10">
        <v>1.2</v>
      </c>
      <c r="P3" s="10" t="s">
        <v>261</v>
      </c>
      <c r="Q3" s="15" t="s">
        <v>289</v>
      </c>
      <c r="R3" s="15" t="s">
        <v>281</v>
      </c>
      <c r="V3" s="15" t="s">
        <v>261</v>
      </c>
      <c r="W3" s="14" t="s">
        <v>283</v>
      </c>
      <c r="X3" s="14">
        <v>1.2</v>
      </c>
      <c r="Y3" s="14" t="s">
        <v>261</v>
      </c>
      <c r="Z3" s="33" t="s">
        <v>280</v>
      </c>
      <c r="AA3" s="47">
        <v>1.0149999999999999</v>
      </c>
      <c r="AB3" s="33" t="s">
        <v>279</v>
      </c>
      <c r="AD3" s="19" t="s">
        <v>145</v>
      </c>
    </row>
    <row r="4" spans="1:30" ht="60" x14ac:dyDescent="0.25">
      <c r="A4" s="2" t="s">
        <v>4</v>
      </c>
      <c r="B4" s="6">
        <v>3373.11</v>
      </c>
      <c r="C4" s="36">
        <v>7360</v>
      </c>
      <c r="D4" s="14" t="s">
        <v>285</v>
      </c>
      <c r="E4" s="14" t="s">
        <v>286</v>
      </c>
      <c r="F4" s="14">
        <v>1.1579999999999999</v>
      </c>
      <c r="G4" s="14">
        <v>1.268</v>
      </c>
      <c r="M4" s="10" t="s">
        <v>215</v>
      </c>
      <c r="N4" s="10">
        <v>0.115</v>
      </c>
      <c r="O4" s="10">
        <v>0.115</v>
      </c>
      <c r="Q4" s="15" t="s">
        <v>216</v>
      </c>
      <c r="R4" s="15" t="s">
        <v>284</v>
      </c>
      <c r="W4" s="14" t="s">
        <v>110</v>
      </c>
      <c r="AD4" s="19" t="s">
        <v>144</v>
      </c>
    </row>
    <row r="5" spans="1:30" ht="90" x14ac:dyDescent="0.25">
      <c r="A5" s="2" t="s">
        <v>5</v>
      </c>
      <c r="B5" s="1" t="s">
        <v>293</v>
      </c>
      <c r="C5" s="36">
        <v>10001</v>
      </c>
      <c r="D5" s="14" t="s">
        <v>110</v>
      </c>
      <c r="I5" s="26" t="s">
        <v>56</v>
      </c>
      <c r="J5" s="4" t="s">
        <v>294</v>
      </c>
      <c r="K5" s="4">
        <f>(0.25+0.16+0.08)/3</f>
        <v>0.16333333333333336</v>
      </c>
      <c r="L5" s="4" t="s">
        <v>88</v>
      </c>
      <c r="M5" s="10" t="s">
        <v>175</v>
      </c>
      <c r="N5" s="10" t="s">
        <v>295</v>
      </c>
      <c r="O5" s="10">
        <v>0.05</v>
      </c>
      <c r="P5" s="11">
        <v>317</v>
      </c>
      <c r="Q5" s="15" t="s">
        <v>111</v>
      </c>
      <c r="R5" s="17">
        <v>4383</v>
      </c>
      <c r="S5" s="17"/>
      <c r="T5" s="17"/>
      <c r="U5" s="17"/>
      <c r="V5" s="17" t="s">
        <v>142</v>
      </c>
      <c r="W5" s="14">
        <v>0.15</v>
      </c>
      <c r="X5" s="14">
        <f>W5</f>
        <v>0.15</v>
      </c>
      <c r="Y5" s="14" t="s">
        <v>296</v>
      </c>
      <c r="AB5" s="30">
        <v>3250</v>
      </c>
      <c r="AD5" s="19" t="s">
        <v>147</v>
      </c>
    </row>
    <row r="6" spans="1:30" ht="180" x14ac:dyDescent="0.25">
      <c r="A6" s="2" t="s">
        <v>6</v>
      </c>
      <c r="B6" s="5" t="s">
        <v>288</v>
      </c>
      <c r="D6" s="14" t="s">
        <v>60</v>
      </c>
      <c r="E6" s="14" t="s">
        <v>287</v>
      </c>
      <c r="F6" s="14">
        <v>1.1040000000000001</v>
      </c>
      <c r="G6" s="14">
        <v>1.026</v>
      </c>
      <c r="I6" s="27" t="s">
        <v>290</v>
      </c>
      <c r="J6" s="4" t="s">
        <v>291</v>
      </c>
      <c r="K6" s="4">
        <v>1.2</v>
      </c>
      <c r="M6" s="10" t="s">
        <v>132</v>
      </c>
      <c r="N6" s="10" t="s">
        <v>132</v>
      </c>
      <c r="O6" s="10">
        <v>1.2</v>
      </c>
      <c r="Q6" s="15" t="s">
        <v>217</v>
      </c>
      <c r="R6" s="15" t="s">
        <v>219</v>
      </c>
      <c r="V6" s="15" t="s">
        <v>218</v>
      </c>
      <c r="W6" s="14" t="s">
        <v>110</v>
      </c>
      <c r="AB6" s="33" t="s">
        <v>292</v>
      </c>
      <c r="AC6" s="20" t="s">
        <v>112</v>
      </c>
      <c r="AD6" s="19" t="s">
        <v>148</v>
      </c>
    </row>
    <row r="7" spans="1:30" ht="45" x14ac:dyDescent="0.25">
      <c r="A7" s="2" t="s">
        <v>7</v>
      </c>
      <c r="B7" s="5">
        <v>6121</v>
      </c>
      <c r="C7" s="36">
        <v>11607</v>
      </c>
      <c r="D7" s="14" t="s">
        <v>61</v>
      </c>
      <c r="E7" s="14" t="s">
        <v>62</v>
      </c>
      <c r="F7" s="14">
        <f>(0.5+1+1+1)/4</f>
        <v>0.875</v>
      </c>
      <c r="G7" s="14">
        <v>1</v>
      </c>
      <c r="I7" s="26" t="s">
        <v>179</v>
      </c>
      <c r="J7" s="4" t="s">
        <v>113</v>
      </c>
      <c r="K7" s="4">
        <f>(0.3+0.12)/2</f>
        <v>0.21</v>
      </c>
      <c r="M7" s="10" t="s">
        <v>132</v>
      </c>
      <c r="N7" s="10">
        <v>0.2</v>
      </c>
      <c r="O7" s="10">
        <v>0.02</v>
      </c>
      <c r="P7" s="11">
        <v>400</v>
      </c>
      <c r="Q7" s="15" t="s">
        <v>220</v>
      </c>
      <c r="R7" s="15" t="s">
        <v>114</v>
      </c>
      <c r="V7" s="15" t="s">
        <v>221</v>
      </c>
      <c r="W7" s="14" t="s">
        <v>132</v>
      </c>
      <c r="AB7" s="29" t="s">
        <v>297</v>
      </c>
      <c r="AC7" s="19" t="s">
        <v>84</v>
      </c>
      <c r="AD7" s="19" t="s">
        <v>110</v>
      </c>
    </row>
    <row r="8" spans="1:30" ht="105" x14ac:dyDescent="0.25">
      <c r="A8" s="2" t="s">
        <v>49</v>
      </c>
      <c r="B8" s="5">
        <v>11525</v>
      </c>
      <c r="C8" s="36">
        <v>19109</v>
      </c>
      <c r="D8" s="14" t="s">
        <v>82</v>
      </c>
      <c r="I8" s="26" t="s">
        <v>110</v>
      </c>
      <c r="M8" s="10" t="s">
        <v>101</v>
      </c>
      <c r="N8" s="10">
        <v>0.15</v>
      </c>
      <c r="O8" s="10">
        <v>0.15</v>
      </c>
      <c r="P8" s="10" t="s">
        <v>200</v>
      </c>
      <c r="Q8" s="15" t="s">
        <v>298</v>
      </c>
      <c r="R8" s="15" t="s">
        <v>299</v>
      </c>
      <c r="V8" s="15" t="s">
        <v>300</v>
      </c>
      <c r="W8" s="14">
        <v>0.1</v>
      </c>
      <c r="X8" s="14">
        <f>W8</f>
        <v>0.1</v>
      </c>
      <c r="Y8" s="25">
        <v>633</v>
      </c>
      <c r="AD8" s="19" t="s">
        <v>149</v>
      </c>
    </row>
    <row r="9" spans="1:30" ht="30" x14ac:dyDescent="0.25">
      <c r="A9" s="2" t="s">
        <v>8</v>
      </c>
      <c r="C9" s="36">
        <v>18686</v>
      </c>
      <c r="D9" s="14" t="s">
        <v>61</v>
      </c>
      <c r="E9" s="14" t="s">
        <v>62</v>
      </c>
      <c r="F9" s="14">
        <f>(0.5+1+1+1)/4</f>
        <v>0.875</v>
      </c>
      <c r="G9" s="14">
        <v>1</v>
      </c>
      <c r="Q9" s="15" t="s">
        <v>222</v>
      </c>
      <c r="V9" s="15" t="s">
        <v>223</v>
      </c>
      <c r="W9" s="14" t="s">
        <v>84</v>
      </c>
      <c r="Y9" s="14" t="s">
        <v>262</v>
      </c>
      <c r="AD9" s="19" t="s">
        <v>150</v>
      </c>
    </row>
    <row r="10" spans="1:30" ht="135" x14ac:dyDescent="0.25">
      <c r="A10" s="2" t="s">
        <v>9</v>
      </c>
      <c r="B10" s="6">
        <v>3623.76</v>
      </c>
      <c r="C10" s="36">
        <v>9360</v>
      </c>
      <c r="D10" s="14" t="s">
        <v>301</v>
      </c>
      <c r="E10" s="14" t="s">
        <v>302</v>
      </c>
      <c r="F10" s="14">
        <v>1.1259999999999999</v>
      </c>
      <c r="G10" s="14">
        <v>1.004</v>
      </c>
      <c r="I10" s="26" t="s">
        <v>110</v>
      </c>
      <c r="M10" s="10" t="s">
        <v>102</v>
      </c>
      <c r="N10" s="10">
        <v>1.147</v>
      </c>
      <c r="O10" s="10">
        <f>N10</f>
        <v>1.147</v>
      </c>
      <c r="Q10" s="15" t="s">
        <v>303</v>
      </c>
      <c r="R10" s="15" t="s">
        <v>304</v>
      </c>
      <c r="V10" s="15" t="s">
        <v>115</v>
      </c>
      <c r="W10" s="14" t="s">
        <v>245</v>
      </c>
      <c r="Z10" s="29">
        <v>1.004</v>
      </c>
      <c r="AA10" s="29">
        <f>Z10</f>
        <v>1.004</v>
      </c>
      <c r="AB10" s="29" t="s">
        <v>305</v>
      </c>
      <c r="AC10" s="19" t="s">
        <v>84</v>
      </c>
      <c r="AD10" s="19" t="s">
        <v>148</v>
      </c>
    </row>
    <row r="11" spans="1:30" ht="75" x14ac:dyDescent="0.25">
      <c r="A11" s="2" t="s">
        <v>10</v>
      </c>
      <c r="B11" s="1" t="s">
        <v>84</v>
      </c>
      <c r="C11" s="36">
        <v>9919</v>
      </c>
      <c r="D11" s="14" t="s">
        <v>63</v>
      </c>
      <c r="E11" s="14" t="s">
        <v>157</v>
      </c>
      <c r="F11" s="14">
        <f>(1.6519+(1.2853*3))/4</f>
        <v>1.3769499999999999</v>
      </c>
      <c r="G11" s="14">
        <v>1</v>
      </c>
      <c r="H11" s="14" t="s">
        <v>156</v>
      </c>
      <c r="I11" s="26" t="s">
        <v>180</v>
      </c>
      <c r="J11" s="4" t="s">
        <v>181</v>
      </c>
      <c r="K11" s="4">
        <f>(1.3092+1.4717)/2</f>
        <v>1.39045</v>
      </c>
      <c r="M11" s="10" t="s">
        <v>102</v>
      </c>
      <c r="N11" s="10" t="s">
        <v>84</v>
      </c>
      <c r="Q11" s="15" t="s">
        <v>225</v>
      </c>
      <c r="R11" s="15" t="s">
        <v>224</v>
      </c>
      <c r="W11" s="14" t="s">
        <v>84</v>
      </c>
      <c r="AA11" s="29">
        <v>1.1912</v>
      </c>
      <c r="AB11" s="29">
        <v>1.1912</v>
      </c>
      <c r="AD11" s="19" t="s">
        <v>148</v>
      </c>
    </row>
    <row r="12" spans="1:30" ht="90" x14ac:dyDescent="0.25">
      <c r="A12" s="2" t="s">
        <v>11</v>
      </c>
      <c r="B12" s="1" t="s">
        <v>84</v>
      </c>
      <c r="C12" s="36">
        <v>13397</v>
      </c>
      <c r="D12" s="14" t="s">
        <v>310</v>
      </c>
      <c r="E12" s="14" t="s">
        <v>309</v>
      </c>
      <c r="I12" s="26" t="s">
        <v>56</v>
      </c>
      <c r="J12" s="34">
        <v>0.1</v>
      </c>
      <c r="K12" s="34">
        <v>0.1</v>
      </c>
      <c r="M12" s="10" t="s">
        <v>306</v>
      </c>
      <c r="N12" s="10" t="s">
        <v>308</v>
      </c>
      <c r="O12" s="10">
        <f>(0.063+0.1891+0.3782)/3</f>
        <v>0.21009999999999998</v>
      </c>
      <c r="P12" s="43">
        <v>1010</v>
      </c>
      <c r="Q12" s="15" t="s">
        <v>84</v>
      </c>
      <c r="V12" s="15" t="s">
        <v>223</v>
      </c>
      <c r="W12" s="14">
        <v>0.26500000000000001</v>
      </c>
      <c r="X12" s="14">
        <f>W12</f>
        <v>0.26500000000000001</v>
      </c>
      <c r="AD12" s="19" t="s">
        <v>307</v>
      </c>
    </row>
    <row r="13" spans="1:30" ht="60" x14ac:dyDescent="0.25">
      <c r="A13" s="2" t="s">
        <v>12</v>
      </c>
      <c r="B13" s="38" t="s">
        <v>311</v>
      </c>
      <c r="C13" s="39">
        <v>5851.85</v>
      </c>
      <c r="D13" s="14" t="s">
        <v>64</v>
      </c>
      <c r="H13" s="14" t="s">
        <v>65</v>
      </c>
      <c r="I13" s="26" t="s">
        <v>110</v>
      </c>
      <c r="M13" s="10" t="s">
        <v>201</v>
      </c>
      <c r="P13" s="10" t="s">
        <v>202</v>
      </c>
      <c r="Q13" s="15" t="s">
        <v>84</v>
      </c>
      <c r="V13" s="15" t="s">
        <v>226</v>
      </c>
      <c r="Y13" s="14" t="s">
        <v>219</v>
      </c>
      <c r="AD13" s="19" t="s">
        <v>148</v>
      </c>
    </row>
    <row r="14" spans="1:30" ht="45" x14ac:dyDescent="0.25">
      <c r="A14" s="2" t="s">
        <v>13</v>
      </c>
      <c r="B14" s="5">
        <v>6119</v>
      </c>
      <c r="C14" s="36">
        <v>13992</v>
      </c>
      <c r="D14" s="14" t="s">
        <v>82</v>
      </c>
      <c r="I14" s="26" t="s">
        <v>161</v>
      </c>
      <c r="J14" s="4" t="s">
        <v>182</v>
      </c>
      <c r="M14" s="10" t="s">
        <v>51</v>
      </c>
      <c r="N14" s="10">
        <v>0.2</v>
      </c>
      <c r="O14" s="10">
        <f>N14</f>
        <v>0.2</v>
      </c>
      <c r="P14" s="10" t="s">
        <v>142</v>
      </c>
      <c r="Q14" s="15" t="s">
        <v>313</v>
      </c>
      <c r="R14" s="15" t="s">
        <v>314</v>
      </c>
      <c r="V14" s="15" t="s">
        <v>227</v>
      </c>
      <c r="W14" s="14">
        <v>0.01</v>
      </c>
      <c r="X14" s="14">
        <f>W14</f>
        <v>0.01</v>
      </c>
      <c r="Y14" s="14" t="s">
        <v>312</v>
      </c>
      <c r="Z14" s="29">
        <v>0.12</v>
      </c>
      <c r="AA14" s="29">
        <f>Z14</f>
        <v>0.12</v>
      </c>
      <c r="AC14" s="19" t="s">
        <v>84</v>
      </c>
      <c r="AD14" s="19" t="s">
        <v>110</v>
      </c>
    </row>
    <row r="15" spans="1:30" ht="75" x14ac:dyDescent="0.25">
      <c r="A15" s="2" t="s">
        <v>14</v>
      </c>
      <c r="B15" s="5">
        <v>4587</v>
      </c>
      <c r="C15" s="36">
        <v>8495</v>
      </c>
      <c r="D15" s="14" t="s">
        <v>82</v>
      </c>
      <c r="I15" s="26" t="s">
        <v>183</v>
      </c>
      <c r="J15" s="4">
        <v>0.35</v>
      </c>
      <c r="K15" s="4">
        <v>0.35</v>
      </c>
      <c r="L15" s="8"/>
      <c r="M15" s="10" t="s">
        <v>110</v>
      </c>
      <c r="Q15" s="15" t="s">
        <v>228</v>
      </c>
      <c r="V15" s="15" t="s">
        <v>229</v>
      </c>
      <c r="AB15" s="29" t="s">
        <v>117</v>
      </c>
      <c r="AD15" s="19" t="s">
        <v>84</v>
      </c>
    </row>
    <row r="16" spans="1:30" ht="15" customHeight="1" x14ac:dyDescent="0.25">
      <c r="A16" s="2" t="s">
        <v>15</v>
      </c>
      <c r="B16" s="5">
        <v>6398</v>
      </c>
      <c r="C16" s="36">
        <v>12175</v>
      </c>
      <c r="D16" s="14" t="s">
        <v>82</v>
      </c>
      <c r="I16" s="26" t="s">
        <v>56</v>
      </c>
      <c r="J16" s="4" t="s">
        <v>315</v>
      </c>
      <c r="M16" s="10" t="s">
        <v>103</v>
      </c>
      <c r="N16" s="10">
        <v>0.22</v>
      </c>
      <c r="O16" s="10">
        <f>N16</f>
        <v>0.22</v>
      </c>
      <c r="P16" s="10" t="s">
        <v>203</v>
      </c>
      <c r="Q16" s="15" t="s">
        <v>231</v>
      </c>
      <c r="R16" s="15" t="s">
        <v>230</v>
      </c>
      <c r="W16" s="25">
        <v>59</v>
      </c>
      <c r="X16" s="25"/>
      <c r="Y16" s="25"/>
      <c r="Z16" s="44">
        <v>0.7</v>
      </c>
      <c r="AA16" s="44">
        <f>Z16</f>
        <v>0.7</v>
      </c>
      <c r="AD16" s="19" t="s">
        <v>149</v>
      </c>
    </row>
    <row r="17" spans="1:30" ht="30" x14ac:dyDescent="0.25">
      <c r="A17" s="2" t="s">
        <v>16</v>
      </c>
      <c r="B17" s="5">
        <v>3852</v>
      </c>
      <c r="C17" s="36">
        <v>11251</v>
      </c>
      <c r="D17" s="14" t="s">
        <v>61</v>
      </c>
      <c r="E17" s="14" t="s">
        <v>62</v>
      </c>
      <c r="F17" s="14">
        <f>(0.5+1+1+1)/4</f>
        <v>0.875</v>
      </c>
      <c r="G17" s="14">
        <v>1</v>
      </c>
      <c r="I17" s="26" t="s">
        <v>89</v>
      </c>
      <c r="J17" s="4">
        <v>0.45600000000000002</v>
      </c>
      <c r="K17" s="4">
        <v>0.45600000000000002</v>
      </c>
      <c r="M17" s="10" t="s">
        <v>51</v>
      </c>
      <c r="N17" s="10" t="s">
        <v>204</v>
      </c>
      <c r="O17" s="10">
        <v>0.39500000000000002</v>
      </c>
      <c r="Q17" s="15" t="s">
        <v>84</v>
      </c>
      <c r="V17" s="15" t="s">
        <v>232</v>
      </c>
      <c r="W17" s="14" t="s">
        <v>263</v>
      </c>
      <c r="Y17" s="14" t="s">
        <v>142</v>
      </c>
      <c r="AA17" s="29">
        <f>AB17</f>
        <v>0.5</v>
      </c>
      <c r="AB17" s="29">
        <v>0.5</v>
      </c>
      <c r="AC17" s="19" t="s">
        <v>184</v>
      </c>
      <c r="AD17" s="19" t="s">
        <v>148</v>
      </c>
    </row>
    <row r="18" spans="1:30" ht="45" x14ac:dyDescent="0.25">
      <c r="A18" s="2" t="s">
        <v>17</v>
      </c>
      <c r="B18" s="5">
        <v>3911</v>
      </c>
      <c r="C18" s="36">
        <v>10061</v>
      </c>
      <c r="D18" s="14" t="s">
        <v>61</v>
      </c>
      <c r="E18" s="14" t="s">
        <v>62</v>
      </c>
      <c r="F18" s="14">
        <f>(0.5+1+1+1)/4</f>
        <v>0.875</v>
      </c>
      <c r="G18" s="14">
        <v>1</v>
      </c>
      <c r="I18" s="26" t="s">
        <v>89</v>
      </c>
      <c r="J18" s="21" t="s">
        <v>185</v>
      </c>
      <c r="K18" s="46">
        <v>0.15</v>
      </c>
      <c r="M18" s="10" t="s">
        <v>104</v>
      </c>
      <c r="N18" s="10">
        <v>9.6000000000000002E-2</v>
      </c>
      <c r="O18" s="10">
        <f>N18</f>
        <v>9.6000000000000002E-2</v>
      </c>
      <c r="Q18" s="15" t="s">
        <v>233</v>
      </c>
      <c r="R18" s="15" t="s">
        <v>234</v>
      </c>
      <c r="S18" s="15">
        <v>0.24</v>
      </c>
      <c r="T18" s="15">
        <v>1.17</v>
      </c>
      <c r="U18" s="15">
        <v>2.35</v>
      </c>
      <c r="V18" s="15" t="s">
        <v>219</v>
      </c>
      <c r="W18" s="14" t="s">
        <v>84</v>
      </c>
      <c r="Y18" s="14" t="s">
        <v>262</v>
      </c>
      <c r="AB18" s="29" t="s">
        <v>316</v>
      </c>
    </row>
    <row r="19" spans="1:30" ht="60" x14ac:dyDescent="0.25">
      <c r="A19" s="2" t="s">
        <v>18</v>
      </c>
      <c r="B19" s="5">
        <v>2961</v>
      </c>
      <c r="C19" s="36">
        <v>11109</v>
      </c>
      <c r="D19" s="14" t="s">
        <v>82</v>
      </c>
      <c r="I19" s="26" t="s">
        <v>162</v>
      </c>
      <c r="J19" s="34">
        <v>0.22</v>
      </c>
      <c r="K19" s="34">
        <v>0.22</v>
      </c>
      <c r="M19" s="10" t="s">
        <v>132</v>
      </c>
      <c r="Q19" s="15" t="s">
        <v>317</v>
      </c>
      <c r="R19" s="15">
        <v>1.5</v>
      </c>
      <c r="W19" s="14">
        <v>0.6</v>
      </c>
      <c r="X19" s="14">
        <f>W19</f>
        <v>0.6</v>
      </c>
      <c r="AA19" s="29">
        <f>AB19</f>
        <v>0.06</v>
      </c>
      <c r="AB19" s="29">
        <v>0.06</v>
      </c>
      <c r="AD19" s="19" t="s">
        <v>318</v>
      </c>
    </row>
    <row r="20" spans="1:30" ht="105" x14ac:dyDescent="0.25">
      <c r="A20" s="2" t="s">
        <v>19</v>
      </c>
      <c r="B20" s="1" t="s">
        <v>321</v>
      </c>
      <c r="C20" s="36">
        <v>9789</v>
      </c>
      <c r="D20" s="14" t="s">
        <v>82</v>
      </c>
      <c r="I20" s="26" t="s">
        <v>56</v>
      </c>
      <c r="J20" s="4">
        <v>1.1499999999999999</v>
      </c>
      <c r="K20" s="4">
        <v>1.1499999999999999</v>
      </c>
      <c r="M20" s="10" t="s">
        <v>320</v>
      </c>
      <c r="N20" s="10" t="s">
        <v>319</v>
      </c>
      <c r="O20" s="10">
        <f>(0.525+0.5+0.7)/3</f>
        <v>0.57499999999999996</v>
      </c>
      <c r="Q20" s="15" t="s">
        <v>84</v>
      </c>
      <c r="R20" s="15">
        <v>0.27800000000000002</v>
      </c>
      <c r="W20" s="14" t="s">
        <v>84</v>
      </c>
      <c r="Y20" s="14" t="s">
        <v>264</v>
      </c>
      <c r="AC20" s="19" t="s">
        <v>84</v>
      </c>
      <c r="AD20" s="19" t="s">
        <v>147</v>
      </c>
    </row>
    <row r="21" spans="1:30" x14ac:dyDescent="0.25">
      <c r="A21" s="2" t="s">
        <v>20</v>
      </c>
      <c r="B21" s="5">
        <v>6860</v>
      </c>
      <c r="C21" s="36">
        <v>15200</v>
      </c>
      <c r="D21" s="14" t="s">
        <v>82</v>
      </c>
      <c r="I21" s="26" t="s">
        <v>56</v>
      </c>
      <c r="J21" s="34">
        <v>0.97</v>
      </c>
      <c r="K21" s="34">
        <v>0.97</v>
      </c>
      <c r="M21" s="10" t="s">
        <v>103</v>
      </c>
      <c r="N21" s="10">
        <v>0.99</v>
      </c>
      <c r="O21" s="10">
        <v>0.99</v>
      </c>
      <c r="P21" s="10" t="s">
        <v>106</v>
      </c>
      <c r="Q21" s="15" t="s">
        <v>84</v>
      </c>
      <c r="R21" s="15">
        <v>0.74</v>
      </c>
      <c r="V21" s="15" t="s">
        <v>235</v>
      </c>
      <c r="AC21" s="19" t="s">
        <v>84</v>
      </c>
      <c r="AD21" s="19" t="s">
        <v>149</v>
      </c>
    </row>
    <row r="22" spans="1:30" ht="60" x14ac:dyDescent="0.25">
      <c r="A22" s="2" t="s">
        <v>21</v>
      </c>
      <c r="B22" s="5">
        <v>10486</v>
      </c>
      <c r="C22" s="36">
        <v>17566</v>
      </c>
      <c r="D22" s="14" t="s">
        <v>66</v>
      </c>
      <c r="H22" s="14" t="s">
        <v>67</v>
      </c>
      <c r="I22" s="26" t="s">
        <v>324</v>
      </c>
      <c r="J22" s="4">
        <v>0.2</v>
      </c>
      <c r="K22" s="4">
        <v>0.2</v>
      </c>
      <c r="L22" s="4" t="s">
        <v>90</v>
      </c>
      <c r="M22" s="10" t="s">
        <v>325</v>
      </c>
      <c r="N22" s="10" t="s">
        <v>326</v>
      </c>
      <c r="O22" s="10">
        <f>(0.34+0.07)/2</f>
        <v>0.20500000000000002</v>
      </c>
      <c r="P22" s="10" t="s">
        <v>107</v>
      </c>
      <c r="Q22" s="15" t="s">
        <v>322</v>
      </c>
      <c r="R22" s="15" t="s">
        <v>323</v>
      </c>
      <c r="V22" s="15" t="s">
        <v>236</v>
      </c>
      <c r="W22" s="14" t="s">
        <v>110</v>
      </c>
      <c r="AC22" s="19" t="s">
        <v>84</v>
      </c>
      <c r="AD22" s="19" t="s">
        <v>110</v>
      </c>
    </row>
    <row r="23" spans="1:30" ht="30" x14ac:dyDescent="0.25">
      <c r="A23" s="2" t="s">
        <v>22</v>
      </c>
      <c r="B23" s="5">
        <v>7126</v>
      </c>
      <c r="C23" s="36">
        <v>14931</v>
      </c>
      <c r="D23" s="14" t="s">
        <v>83</v>
      </c>
      <c r="I23" s="26" t="s">
        <v>91</v>
      </c>
      <c r="J23" s="34">
        <v>0.115</v>
      </c>
      <c r="K23" s="34">
        <v>0.115</v>
      </c>
      <c r="L23" s="4" t="s">
        <v>186</v>
      </c>
      <c r="M23" s="10" t="s">
        <v>51</v>
      </c>
      <c r="P23" s="10" t="s">
        <v>108</v>
      </c>
      <c r="Q23" s="15" t="s">
        <v>84</v>
      </c>
      <c r="V23" s="15" t="s">
        <v>237</v>
      </c>
      <c r="W23" s="14" t="s">
        <v>110</v>
      </c>
      <c r="AD23" s="19" t="s">
        <v>151</v>
      </c>
    </row>
    <row r="24" spans="1:30" ht="105" x14ac:dyDescent="0.25">
      <c r="A24" s="2" t="s">
        <v>23</v>
      </c>
      <c r="B24" s="5">
        <v>5831</v>
      </c>
      <c r="C24" s="36">
        <v>13396</v>
      </c>
      <c r="D24" s="14" t="s">
        <v>327</v>
      </c>
      <c r="E24" s="14" t="s">
        <v>328</v>
      </c>
      <c r="F24" s="14">
        <v>1</v>
      </c>
      <c r="G24" s="14">
        <v>1.2</v>
      </c>
      <c r="I24" s="26" t="s">
        <v>56</v>
      </c>
      <c r="J24" s="4" t="s">
        <v>92</v>
      </c>
      <c r="K24" s="4">
        <f>(1+0.5)/2</f>
        <v>0.75</v>
      </c>
      <c r="L24" s="4" t="s">
        <v>329</v>
      </c>
      <c r="M24" s="10" t="s">
        <v>205</v>
      </c>
      <c r="P24" s="10" t="s">
        <v>176</v>
      </c>
      <c r="Q24" s="15" t="s">
        <v>84</v>
      </c>
      <c r="V24" s="15" t="s">
        <v>238</v>
      </c>
      <c r="W24" s="25">
        <v>13</v>
      </c>
      <c r="X24" s="25"/>
      <c r="Y24" s="25" t="s">
        <v>265</v>
      </c>
      <c r="Z24" s="30"/>
      <c r="AA24" s="30"/>
      <c r="AC24" s="19" t="s">
        <v>187</v>
      </c>
      <c r="AD24" s="19" t="s">
        <v>330</v>
      </c>
    </row>
    <row r="25" spans="1:30" ht="30" x14ac:dyDescent="0.25">
      <c r="A25" s="2" t="s">
        <v>24</v>
      </c>
      <c r="B25" s="5">
        <v>5155</v>
      </c>
      <c r="C25" s="36">
        <v>9092</v>
      </c>
      <c r="D25" s="14" t="s">
        <v>83</v>
      </c>
      <c r="I25" s="26" t="s">
        <v>89</v>
      </c>
      <c r="J25" s="34">
        <v>0.05</v>
      </c>
      <c r="K25" s="34">
        <v>0.05</v>
      </c>
      <c r="M25" s="10" t="s">
        <v>110</v>
      </c>
      <c r="Q25" s="15" t="s">
        <v>84</v>
      </c>
      <c r="V25" s="15" t="s">
        <v>223</v>
      </c>
      <c r="W25" s="14" t="s">
        <v>84</v>
      </c>
      <c r="Y25" s="14" t="s">
        <v>223</v>
      </c>
      <c r="AD25" s="19" t="s">
        <v>110</v>
      </c>
    </row>
    <row r="26" spans="1:30" ht="30" x14ac:dyDescent="0.25">
      <c r="A26" s="2" t="s">
        <v>25</v>
      </c>
      <c r="B26" s="5">
        <v>6117</v>
      </c>
      <c r="C26" s="36">
        <v>11561</v>
      </c>
      <c r="D26" s="14" t="s">
        <v>110</v>
      </c>
      <c r="I26" s="26" t="s">
        <v>56</v>
      </c>
      <c r="J26" s="4" t="s">
        <v>188</v>
      </c>
      <c r="K26" s="4">
        <v>0.25</v>
      </c>
      <c r="M26" s="10" t="s">
        <v>103</v>
      </c>
      <c r="N26" s="10" t="s">
        <v>206</v>
      </c>
      <c r="O26" s="10">
        <v>0.6</v>
      </c>
      <c r="Q26" s="15" t="s">
        <v>239</v>
      </c>
      <c r="R26" s="15" t="s">
        <v>240</v>
      </c>
      <c r="W26" s="14" t="s">
        <v>331</v>
      </c>
      <c r="AC26" s="19" t="s">
        <v>189</v>
      </c>
      <c r="AD26" s="19" t="s">
        <v>84</v>
      </c>
    </row>
    <row r="27" spans="1:30" ht="30" x14ac:dyDescent="0.25">
      <c r="A27" s="2" t="s">
        <v>26</v>
      </c>
      <c r="B27" s="1" t="s">
        <v>119</v>
      </c>
      <c r="C27" s="36">
        <v>15103</v>
      </c>
      <c r="D27" s="14" t="s">
        <v>61</v>
      </c>
      <c r="E27" s="14" t="s">
        <v>62</v>
      </c>
      <c r="F27" s="14">
        <f>(0.5+1+1+1)/4</f>
        <v>0.875</v>
      </c>
      <c r="G27" s="14">
        <v>1</v>
      </c>
      <c r="I27" s="26" t="s">
        <v>84</v>
      </c>
      <c r="M27" s="10" t="s">
        <v>207</v>
      </c>
      <c r="Q27" s="15" t="s">
        <v>84</v>
      </c>
      <c r="V27" s="15" t="s">
        <v>241</v>
      </c>
      <c r="W27" s="14" t="s">
        <v>84</v>
      </c>
      <c r="Y27" s="14" t="s">
        <v>266</v>
      </c>
      <c r="AD27" s="19" t="s">
        <v>149</v>
      </c>
    </row>
    <row r="28" spans="1:30" ht="30" x14ac:dyDescent="0.25">
      <c r="A28" s="2" t="s">
        <v>27</v>
      </c>
      <c r="C28" s="36">
        <v>10649</v>
      </c>
      <c r="D28" s="14" t="s">
        <v>83</v>
      </c>
      <c r="I28" s="26" t="s">
        <v>56</v>
      </c>
      <c r="J28" s="4" t="s">
        <v>93</v>
      </c>
      <c r="K28" s="4">
        <f>(0.05+0.3)/2</f>
        <v>0.17499999999999999</v>
      </c>
      <c r="M28" s="10" t="s">
        <v>103</v>
      </c>
      <c r="N28" s="10">
        <v>0.25</v>
      </c>
      <c r="O28" s="10">
        <v>0.25</v>
      </c>
      <c r="Q28" s="15" t="s">
        <v>84</v>
      </c>
      <c r="W28" s="14" t="s">
        <v>110</v>
      </c>
      <c r="AB28" s="29" t="s">
        <v>110</v>
      </c>
    </row>
    <row r="29" spans="1:30" ht="30" x14ac:dyDescent="0.25">
      <c r="A29" s="2" t="s">
        <v>28</v>
      </c>
      <c r="B29" s="5">
        <v>5676</v>
      </c>
      <c r="C29" s="36">
        <v>8675</v>
      </c>
      <c r="D29" s="14" t="s">
        <v>61</v>
      </c>
      <c r="E29" s="14" t="s">
        <v>68</v>
      </c>
      <c r="F29" s="14">
        <f>(0.6+1+1+1)/4</f>
        <v>0.9</v>
      </c>
      <c r="G29" s="14">
        <v>1</v>
      </c>
      <c r="I29" s="26" t="s">
        <v>110</v>
      </c>
      <c r="M29" s="10" t="s">
        <v>205</v>
      </c>
      <c r="P29" s="10" t="s">
        <v>109</v>
      </c>
      <c r="Q29" s="15" t="s">
        <v>84</v>
      </c>
      <c r="W29" s="14" t="s">
        <v>84</v>
      </c>
      <c r="Y29" s="14" t="s">
        <v>120</v>
      </c>
      <c r="AB29" s="29" t="s">
        <v>121</v>
      </c>
      <c r="AD29" s="19" t="s">
        <v>84</v>
      </c>
    </row>
    <row r="30" spans="1:30" ht="60" x14ac:dyDescent="0.25">
      <c r="A30" s="2" t="s">
        <v>29</v>
      </c>
      <c r="B30" s="6">
        <v>3561.27</v>
      </c>
      <c r="C30" s="36">
        <v>17659</v>
      </c>
      <c r="D30" s="14" t="s">
        <v>69</v>
      </c>
      <c r="E30" s="14" t="s">
        <v>70</v>
      </c>
      <c r="F30" s="14">
        <v>1</v>
      </c>
      <c r="G30" s="14">
        <v>1.2</v>
      </c>
      <c r="I30" s="26" t="s">
        <v>56</v>
      </c>
      <c r="L30" s="22">
        <v>1780.63</v>
      </c>
      <c r="M30" s="10" t="s">
        <v>94</v>
      </c>
      <c r="P30" s="12">
        <v>697.77</v>
      </c>
      <c r="Q30" s="15" t="s">
        <v>95</v>
      </c>
      <c r="R30" s="23" t="s">
        <v>368</v>
      </c>
      <c r="S30" s="23"/>
      <c r="T30" s="23"/>
      <c r="U30" s="23"/>
      <c r="V30" s="23"/>
      <c r="W30" s="14" t="s">
        <v>84</v>
      </c>
      <c r="AD30" s="19" t="s">
        <v>110</v>
      </c>
    </row>
    <row r="31" spans="1:30" ht="60" x14ac:dyDescent="0.25">
      <c r="A31" s="2" t="s">
        <v>30</v>
      </c>
      <c r="B31" s="5">
        <v>11009</v>
      </c>
      <c r="C31" s="36">
        <v>18934</v>
      </c>
      <c r="D31" s="14" t="s">
        <v>66</v>
      </c>
      <c r="E31" s="14" t="s">
        <v>122</v>
      </c>
      <c r="F31" s="14">
        <v>1</v>
      </c>
      <c r="G31" s="14">
        <v>1.2</v>
      </c>
      <c r="I31" s="26" t="s">
        <v>56</v>
      </c>
      <c r="J31" s="4" t="s">
        <v>96</v>
      </c>
      <c r="K31" s="4">
        <f>(0.57+0.47)/2</f>
        <v>0.52</v>
      </c>
      <c r="M31" s="10" t="s">
        <v>51</v>
      </c>
      <c r="N31" s="10" t="s">
        <v>369</v>
      </c>
      <c r="O31" s="10">
        <v>0.25</v>
      </c>
      <c r="P31" s="11">
        <v>1274</v>
      </c>
      <c r="Q31" s="15" t="s">
        <v>84</v>
      </c>
      <c r="W31" s="14" t="s">
        <v>263</v>
      </c>
      <c r="AA31" s="29">
        <v>1.26</v>
      </c>
      <c r="AB31" s="29" t="s">
        <v>123</v>
      </c>
      <c r="AC31" s="19" t="s">
        <v>97</v>
      </c>
      <c r="AD31" s="19" t="s">
        <v>110</v>
      </c>
    </row>
    <row r="32" spans="1:30" ht="75" x14ac:dyDescent="0.25">
      <c r="A32" s="2" t="s">
        <v>31</v>
      </c>
      <c r="B32" s="6">
        <v>4005.75</v>
      </c>
      <c r="C32" s="36">
        <v>11771</v>
      </c>
      <c r="D32" s="14" t="s">
        <v>71</v>
      </c>
      <c r="E32" s="14" t="s">
        <v>72</v>
      </c>
      <c r="F32" s="14">
        <f>(1.44+1.2+1.18+1.18)/4</f>
        <v>1.2499999999999998</v>
      </c>
      <c r="G32" s="14">
        <v>1.25</v>
      </c>
      <c r="I32" s="26" t="s">
        <v>110</v>
      </c>
      <c r="J32" s="4">
        <v>9.1499999999999998E-2</v>
      </c>
      <c r="K32" s="4">
        <v>9.1499999999999998E-2</v>
      </c>
      <c r="N32" s="10" t="s">
        <v>208</v>
      </c>
      <c r="O32" s="10">
        <v>0.5</v>
      </c>
      <c r="Q32" s="15" t="s">
        <v>244</v>
      </c>
      <c r="R32" s="15" t="s">
        <v>242</v>
      </c>
      <c r="V32" s="15" t="s">
        <v>243</v>
      </c>
      <c r="W32" s="14" t="s">
        <v>245</v>
      </c>
      <c r="AD32" s="19" t="s">
        <v>148</v>
      </c>
    </row>
    <row r="33" spans="1:30" ht="75" x14ac:dyDescent="0.25">
      <c r="A33" s="2" t="s">
        <v>32</v>
      </c>
      <c r="B33" s="1" t="s">
        <v>345</v>
      </c>
      <c r="C33" s="36">
        <v>16720</v>
      </c>
      <c r="D33" s="14" t="s">
        <v>332</v>
      </c>
      <c r="E33" s="14" t="s">
        <v>333</v>
      </c>
      <c r="F33" s="14">
        <v>1</v>
      </c>
      <c r="G33" s="14">
        <v>1.03</v>
      </c>
      <c r="I33" s="26" t="s">
        <v>340</v>
      </c>
      <c r="J33" s="4" t="s">
        <v>339</v>
      </c>
      <c r="K33" s="4">
        <v>0.12</v>
      </c>
      <c r="M33" s="10" t="s">
        <v>341</v>
      </c>
      <c r="N33" s="10" t="s">
        <v>342</v>
      </c>
      <c r="O33" s="10">
        <f>(0.4+0.5)/2</f>
        <v>0.45</v>
      </c>
      <c r="P33" s="10" t="s">
        <v>177</v>
      </c>
      <c r="Q33" s="15" t="s">
        <v>178</v>
      </c>
      <c r="R33" s="15" t="s">
        <v>98</v>
      </c>
      <c r="S33" s="15">
        <v>0.25</v>
      </c>
      <c r="T33" s="15">
        <v>0.5</v>
      </c>
      <c r="U33" s="15">
        <v>1.41</v>
      </c>
      <c r="W33" s="14" t="s">
        <v>110</v>
      </c>
      <c r="Z33" s="29" t="s">
        <v>343</v>
      </c>
      <c r="AA33" s="29">
        <f>AVERAGE(0.26,0.17,0.12,0.05)</f>
        <v>0.15000000000000002</v>
      </c>
      <c r="AB33" s="29" t="s">
        <v>344</v>
      </c>
      <c r="AC33" s="19" t="s">
        <v>84</v>
      </c>
      <c r="AD33" s="19" t="s">
        <v>149</v>
      </c>
    </row>
    <row r="34" spans="1:30" ht="120" x14ac:dyDescent="0.25">
      <c r="A34" s="2" t="s">
        <v>33</v>
      </c>
      <c r="B34" s="45">
        <v>5188</v>
      </c>
      <c r="C34" s="36">
        <v>8993</v>
      </c>
      <c r="D34" s="14" t="s">
        <v>124</v>
      </c>
      <c r="H34" s="14" t="s">
        <v>125</v>
      </c>
      <c r="I34" s="26" t="s">
        <v>190</v>
      </c>
      <c r="J34" s="4" t="s">
        <v>191</v>
      </c>
      <c r="L34" s="4" t="s">
        <v>192</v>
      </c>
      <c r="M34" s="10" t="s">
        <v>209</v>
      </c>
      <c r="N34" s="10" t="s">
        <v>210</v>
      </c>
      <c r="P34" s="10" t="s">
        <v>58</v>
      </c>
      <c r="Q34" s="15" t="s">
        <v>84</v>
      </c>
      <c r="V34" s="15" t="s">
        <v>246</v>
      </c>
      <c r="W34" s="14" t="s">
        <v>267</v>
      </c>
      <c r="X34" s="14">
        <v>0.04</v>
      </c>
      <c r="Z34" s="29" t="s">
        <v>268</v>
      </c>
      <c r="AB34" s="29" t="s">
        <v>269</v>
      </c>
      <c r="AC34" s="19" t="s">
        <v>347</v>
      </c>
      <c r="AD34" s="19" t="s">
        <v>346</v>
      </c>
    </row>
    <row r="35" spans="1:30" ht="60" x14ac:dyDescent="0.25">
      <c r="A35" s="2" t="s">
        <v>34</v>
      </c>
      <c r="B35" s="5">
        <v>9092</v>
      </c>
      <c r="C35" s="36">
        <v>8755</v>
      </c>
      <c r="D35" s="14" t="s">
        <v>74</v>
      </c>
      <c r="E35" s="14" t="s">
        <v>75</v>
      </c>
      <c r="F35" s="14">
        <f>(1.3121-0.949)+0.949</f>
        <v>1.3121</v>
      </c>
      <c r="G35" s="14">
        <f>(1.4712-1.0362)+1.0362</f>
        <v>1.4712000000000001</v>
      </c>
      <c r="I35" s="26" t="s">
        <v>193</v>
      </c>
      <c r="J35" s="4" t="s">
        <v>194</v>
      </c>
      <c r="K35" s="4">
        <v>2.5000000000000001E-2</v>
      </c>
      <c r="M35" s="10" t="s">
        <v>348</v>
      </c>
      <c r="N35" s="10" t="s">
        <v>349</v>
      </c>
      <c r="O35" s="10">
        <f>(0.3+0.2+0.07)/3</f>
        <v>0.19000000000000003</v>
      </c>
      <c r="Q35" s="15" t="s">
        <v>84</v>
      </c>
      <c r="R35" s="15" t="s">
        <v>350</v>
      </c>
      <c r="V35" s="15" t="s">
        <v>248</v>
      </c>
      <c r="Y35" s="14" t="s">
        <v>351</v>
      </c>
      <c r="AD35" s="19" t="s">
        <v>150</v>
      </c>
    </row>
    <row r="36" spans="1:30" ht="120" x14ac:dyDescent="0.25">
      <c r="A36" s="2" t="s">
        <v>50</v>
      </c>
      <c r="B36" s="5">
        <v>5745</v>
      </c>
      <c r="C36" s="36">
        <v>12971</v>
      </c>
      <c r="D36" s="14" t="s">
        <v>61</v>
      </c>
      <c r="E36" s="14" t="s">
        <v>62</v>
      </c>
      <c r="F36" s="14">
        <f>(0.5+1+1+1)/4</f>
        <v>0.875</v>
      </c>
      <c r="G36" s="14">
        <v>1</v>
      </c>
      <c r="I36" s="26" t="s">
        <v>352</v>
      </c>
      <c r="L36" s="8">
        <v>269</v>
      </c>
      <c r="M36" s="10" t="s">
        <v>353</v>
      </c>
      <c r="N36" s="10">
        <v>0.29060000000000002</v>
      </c>
      <c r="O36" s="10">
        <f>N36</f>
        <v>0.29060000000000002</v>
      </c>
      <c r="P36" s="10" t="s">
        <v>211</v>
      </c>
      <c r="Q36" s="15" t="s">
        <v>249</v>
      </c>
      <c r="R36" s="15" t="s">
        <v>354</v>
      </c>
      <c r="V36" s="15" t="s">
        <v>250</v>
      </c>
      <c r="W36" s="14" t="s">
        <v>270</v>
      </c>
      <c r="Y36" s="14" t="s">
        <v>271</v>
      </c>
      <c r="AB36" s="30" t="s">
        <v>126</v>
      </c>
      <c r="AD36" s="19" t="s">
        <v>110</v>
      </c>
    </row>
    <row r="37" spans="1:30" ht="180" x14ac:dyDescent="0.25">
      <c r="A37" s="2" t="s">
        <v>35</v>
      </c>
      <c r="B37" s="5">
        <v>1614</v>
      </c>
      <c r="C37" s="36">
        <v>8485</v>
      </c>
      <c r="D37" s="14" t="s">
        <v>355</v>
      </c>
      <c r="E37" s="14" t="s">
        <v>356</v>
      </c>
      <c r="F37" s="14">
        <f>(1.5+1.351+1.351+1.051)/4</f>
        <v>1.31325</v>
      </c>
      <c r="G37" s="14">
        <v>1.2</v>
      </c>
      <c r="I37" s="26" t="s">
        <v>56</v>
      </c>
      <c r="J37" s="4">
        <v>0.25</v>
      </c>
      <c r="K37" s="4">
        <v>0.25</v>
      </c>
      <c r="N37" s="10">
        <v>0.25</v>
      </c>
      <c r="O37" s="10">
        <f>N37</f>
        <v>0.25</v>
      </c>
      <c r="Q37" s="15" t="s">
        <v>357</v>
      </c>
      <c r="R37" s="15" t="s">
        <v>251</v>
      </c>
      <c r="W37" s="14">
        <v>0.34</v>
      </c>
      <c r="X37" s="14">
        <f>W37</f>
        <v>0.34</v>
      </c>
      <c r="AD37" s="19" t="s">
        <v>358</v>
      </c>
    </row>
    <row r="38" spans="1:30" ht="60" x14ac:dyDescent="0.25">
      <c r="A38" s="2" t="s">
        <v>36</v>
      </c>
      <c r="B38" s="5">
        <v>4500</v>
      </c>
      <c r="C38" s="36">
        <v>12502</v>
      </c>
      <c r="D38" s="14" t="s">
        <v>61</v>
      </c>
      <c r="E38" s="14" t="s">
        <v>359</v>
      </c>
      <c r="F38" s="14">
        <f>(0.5+1+1+1)/4</f>
        <v>0.875</v>
      </c>
      <c r="G38" s="14">
        <v>1</v>
      </c>
      <c r="I38" s="26" t="s">
        <v>163</v>
      </c>
      <c r="J38" s="4" t="s">
        <v>195</v>
      </c>
      <c r="K38" s="4">
        <v>0.25</v>
      </c>
      <c r="M38" s="10" t="s">
        <v>51</v>
      </c>
      <c r="N38" s="10">
        <v>0.5</v>
      </c>
      <c r="O38" s="10">
        <f>N38</f>
        <v>0.5</v>
      </c>
      <c r="Q38" s="15" t="s">
        <v>118</v>
      </c>
      <c r="R38" s="15" t="s">
        <v>252</v>
      </c>
      <c r="V38" s="15" t="s">
        <v>253</v>
      </c>
      <c r="W38" s="14" t="s">
        <v>110</v>
      </c>
      <c r="AB38" s="29" t="s">
        <v>110</v>
      </c>
      <c r="AD38" s="19" t="s">
        <v>152</v>
      </c>
    </row>
    <row r="39" spans="1:30" ht="30" x14ac:dyDescent="0.25">
      <c r="A39" s="40" t="s">
        <v>37</v>
      </c>
      <c r="B39" s="3" t="s">
        <v>127</v>
      </c>
      <c r="C39" s="37">
        <v>16080</v>
      </c>
      <c r="D39" s="14" t="s">
        <v>73</v>
      </c>
      <c r="E39" s="14" t="s">
        <v>76</v>
      </c>
      <c r="F39" s="14">
        <v>1</v>
      </c>
      <c r="G39" s="14">
        <v>1.36</v>
      </c>
      <c r="I39" s="26" t="s">
        <v>56</v>
      </c>
      <c r="J39" s="4">
        <v>0.43</v>
      </c>
      <c r="K39" s="4">
        <v>0.43</v>
      </c>
      <c r="N39" s="10" t="s">
        <v>364</v>
      </c>
      <c r="O39" s="10">
        <f>(2.43+1.48)/2</f>
        <v>1.9550000000000001</v>
      </c>
      <c r="Q39" s="15" t="s">
        <v>84</v>
      </c>
      <c r="R39" s="15">
        <v>1.3</v>
      </c>
      <c r="W39" s="14" t="s">
        <v>365</v>
      </c>
      <c r="X39" s="14">
        <f>(0.2+0.66)/2</f>
        <v>0.43000000000000005</v>
      </c>
      <c r="AD39" s="19" t="s">
        <v>149</v>
      </c>
    </row>
    <row r="40" spans="1:30" ht="30" x14ac:dyDescent="0.25">
      <c r="A40" s="2" t="s">
        <v>38</v>
      </c>
      <c r="B40" s="5">
        <v>8966</v>
      </c>
      <c r="C40" s="36">
        <v>25712</v>
      </c>
      <c r="D40" s="14" t="s">
        <v>110</v>
      </c>
      <c r="I40" s="26" t="s">
        <v>56</v>
      </c>
      <c r="J40" s="34">
        <v>0.4</v>
      </c>
      <c r="K40" s="34">
        <v>0.4</v>
      </c>
      <c r="L40" s="8">
        <v>3586</v>
      </c>
      <c r="M40" s="10" t="s">
        <v>110</v>
      </c>
      <c r="Q40" s="15" t="s">
        <v>128</v>
      </c>
      <c r="W40" s="14" t="s">
        <v>110</v>
      </c>
      <c r="AD40" s="19" t="s">
        <v>110</v>
      </c>
    </row>
    <row r="41" spans="1:30" ht="150" x14ac:dyDescent="0.25">
      <c r="A41" s="2" t="s">
        <v>39</v>
      </c>
      <c r="B41" s="5">
        <v>2120</v>
      </c>
      <c r="C41" s="36">
        <v>10291</v>
      </c>
      <c r="D41" s="14" t="s">
        <v>77</v>
      </c>
      <c r="E41" s="14" t="s">
        <v>78</v>
      </c>
      <c r="F41" s="14">
        <f>(1.3+(1.24*3))/4</f>
        <v>1.2549999999999999</v>
      </c>
      <c r="G41" s="14">
        <v>1.25</v>
      </c>
      <c r="I41" s="26" t="s">
        <v>84</v>
      </c>
      <c r="L41" s="4" t="s">
        <v>99</v>
      </c>
      <c r="M41" s="10" t="s">
        <v>103</v>
      </c>
      <c r="N41" s="10">
        <v>0.2</v>
      </c>
      <c r="O41" s="10">
        <f>N41</f>
        <v>0.2</v>
      </c>
      <c r="Q41" s="15" t="s">
        <v>254</v>
      </c>
      <c r="R41" s="15" t="s">
        <v>366</v>
      </c>
      <c r="W41" s="14">
        <v>0.15</v>
      </c>
      <c r="X41" s="14">
        <f>W41</f>
        <v>0.15</v>
      </c>
      <c r="AA41" s="29">
        <f>AB41</f>
        <v>1.29</v>
      </c>
      <c r="AB41" s="29">
        <v>1.29</v>
      </c>
      <c r="AD41" s="19" t="s">
        <v>149</v>
      </c>
    </row>
    <row r="42" spans="1:30" ht="105" x14ac:dyDescent="0.25">
      <c r="A42" s="2" t="s">
        <v>40</v>
      </c>
      <c r="B42" s="6">
        <v>4626</v>
      </c>
      <c r="C42" s="36">
        <v>9214</v>
      </c>
      <c r="D42" s="14" t="s">
        <v>110</v>
      </c>
      <c r="I42" s="26" t="s">
        <v>110</v>
      </c>
      <c r="M42" s="10" t="s">
        <v>175</v>
      </c>
      <c r="N42" s="10">
        <v>0.25</v>
      </c>
      <c r="O42" s="10">
        <f>N42</f>
        <v>0.25</v>
      </c>
      <c r="Q42" s="15" t="s">
        <v>84</v>
      </c>
      <c r="W42" s="14" t="s">
        <v>110</v>
      </c>
      <c r="AD42" s="19" t="s">
        <v>367</v>
      </c>
    </row>
    <row r="43" spans="1:30" ht="105" x14ac:dyDescent="0.25">
      <c r="A43" s="2" t="s">
        <v>41</v>
      </c>
      <c r="C43" s="36">
        <v>9531</v>
      </c>
      <c r="D43" s="14" t="s">
        <v>79</v>
      </c>
      <c r="E43" s="14" t="s">
        <v>129</v>
      </c>
      <c r="I43" s="26" t="s">
        <v>84</v>
      </c>
      <c r="L43" s="22" t="s">
        <v>196</v>
      </c>
      <c r="M43" s="10" t="s">
        <v>51</v>
      </c>
      <c r="P43" s="10" t="s">
        <v>57</v>
      </c>
      <c r="Q43" s="15" t="s">
        <v>118</v>
      </c>
      <c r="W43" s="14" t="s">
        <v>272</v>
      </c>
      <c r="AA43" s="29">
        <v>0.7</v>
      </c>
      <c r="AB43" s="29" t="s">
        <v>360</v>
      </c>
      <c r="AC43" s="19" t="s">
        <v>84</v>
      </c>
      <c r="AD43" s="19" t="s">
        <v>110</v>
      </c>
    </row>
    <row r="44" spans="1:30" ht="165" x14ac:dyDescent="0.25">
      <c r="A44" s="2" t="s">
        <v>42</v>
      </c>
      <c r="B44" s="5">
        <v>5040</v>
      </c>
      <c r="C44" s="36">
        <v>9559</v>
      </c>
      <c r="D44" s="24" t="s">
        <v>130</v>
      </c>
      <c r="E44" s="24"/>
      <c r="F44" s="24"/>
      <c r="G44" s="24"/>
      <c r="H44" s="25">
        <v>275</v>
      </c>
      <c r="I44" s="26" t="s">
        <v>164</v>
      </c>
      <c r="J44" s="21" t="s">
        <v>197</v>
      </c>
      <c r="K44" s="21">
        <v>0.2</v>
      </c>
      <c r="M44" s="10" t="s">
        <v>51</v>
      </c>
      <c r="N44" s="10">
        <v>0.1</v>
      </c>
      <c r="O44" s="10">
        <f>N44</f>
        <v>0.1</v>
      </c>
      <c r="Q44" s="15" t="s">
        <v>257</v>
      </c>
      <c r="R44" s="15" t="s">
        <v>255</v>
      </c>
      <c r="V44" s="15" t="s">
        <v>256</v>
      </c>
      <c r="W44" s="14">
        <v>0.12</v>
      </c>
      <c r="X44" s="14">
        <f>W44</f>
        <v>0.12</v>
      </c>
      <c r="Y44" s="14" t="s">
        <v>273</v>
      </c>
      <c r="AA44" s="29">
        <f>AB44</f>
        <v>1.35</v>
      </c>
      <c r="AB44" s="29">
        <v>1.35</v>
      </c>
      <c r="AC44" s="19" t="s">
        <v>84</v>
      </c>
      <c r="AD44" s="19" t="s">
        <v>153</v>
      </c>
    </row>
    <row r="45" spans="1:30" ht="285" x14ac:dyDescent="0.25">
      <c r="A45" s="2" t="s">
        <v>43</v>
      </c>
      <c r="B45" s="5">
        <v>2972</v>
      </c>
      <c r="C45" s="36">
        <v>8111</v>
      </c>
      <c r="D45" s="14" t="s">
        <v>74</v>
      </c>
      <c r="E45" s="14" t="s">
        <v>131</v>
      </c>
      <c r="F45" s="14">
        <f>(0.55+(0.9*3))/4</f>
        <v>0.8125</v>
      </c>
      <c r="G45" s="14">
        <v>1.2</v>
      </c>
      <c r="I45" s="26" t="s">
        <v>165</v>
      </c>
      <c r="L45" s="4" t="s">
        <v>361</v>
      </c>
      <c r="M45" s="10" t="s">
        <v>132</v>
      </c>
      <c r="Q45" s="15" t="s">
        <v>84</v>
      </c>
      <c r="R45" s="15" t="s">
        <v>362</v>
      </c>
      <c r="V45" s="15" t="s">
        <v>247</v>
      </c>
      <c r="W45" s="14" t="s">
        <v>133</v>
      </c>
      <c r="Y45" s="14" t="s">
        <v>274</v>
      </c>
      <c r="Z45" s="29" t="s">
        <v>363</v>
      </c>
      <c r="AD45" s="19" t="s">
        <v>148</v>
      </c>
    </row>
    <row r="46" spans="1:30" ht="30" x14ac:dyDescent="0.25">
      <c r="A46" s="2" t="s">
        <v>44</v>
      </c>
      <c r="B46" s="5">
        <v>9285</v>
      </c>
      <c r="C46" s="36">
        <v>30738</v>
      </c>
      <c r="D46" s="14" t="s">
        <v>73</v>
      </c>
      <c r="E46" s="14" t="s">
        <v>134</v>
      </c>
      <c r="F46" s="14">
        <v>1</v>
      </c>
      <c r="G46" s="14">
        <v>1.1299999999999999</v>
      </c>
      <c r="I46" s="26" t="s">
        <v>100</v>
      </c>
      <c r="J46" s="34">
        <v>0.25</v>
      </c>
      <c r="K46" s="34">
        <f>J46</f>
        <v>0.25</v>
      </c>
      <c r="M46" s="10" t="s">
        <v>205</v>
      </c>
      <c r="N46" s="10">
        <v>0.2</v>
      </c>
      <c r="O46" s="10">
        <f>N46</f>
        <v>0.2</v>
      </c>
      <c r="Q46" s="15" t="s">
        <v>84</v>
      </c>
      <c r="V46" s="15" t="s">
        <v>258</v>
      </c>
      <c r="W46" s="14" t="s">
        <v>110</v>
      </c>
      <c r="AD46" s="19" t="s">
        <v>148</v>
      </c>
    </row>
    <row r="47" spans="1:30" ht="30" x14ac:dyDescent="0.25">
      <c r="A47" s="2" t="s">
        <v>85</v>
      </c>
      <c r="B47" s="5">
        <v>7418</v>
      </c>
      <c r="C47" s="36">
        <v>11857</v>
      </c>
      <c r="D47" s="14" t="s">
        <v>110</v>
      </c>
      <c r="I47" s="26" t="s">
        <v>89</v>
      </c>
      <c r="M47" s="10" t="s">
        <v>51</v>
      </c>
      <c r="P47" s="41" t="s">
        <v>212</v>
      </c>
      <c r="Q47" s="15" t="s">
        <v>220</v>
      </c>
      <c r="V47" s="15" t="s">
        <v>223</v>
      </c>
      <c r="W47" s="14" t="s">
        <v>135</v>
      </c>
      <c r="Y47" s="14" t="s">
        <v>265</v>
      </c>
      <c r="AC47" s="19" t="s">
        <v>84</v>
      </c>
      <c r="AD47" s="19" t="s">
        <v>84</v>
      </c>
    </row>
    <row r="48" spans="1:30" ht="60" x14ac:dyDescent="0.25">
      <c r="A48" s="2" t="s">
        <v>45</v>
      </c>
      <c r="B48" s="1" t="s">
        <v>84</v>
      </c>
      <c r="C48" s="36">
        <v>10800</v>
      </c>
      <c r="D48" s="14" t="s">
        <v>80</v>
      </c>
      <c r="E48" s="14" t="s">
        <v>81</v>
      </c>
      <c r="I48" s="26" t="s">
        <v>56</v>
      </c>
      <c r="L48" s="8">
        <v>460</v>
      </c>
      <c r="M48" s="10" t="s">
        <v>51</v>
      </c>
      <c r="P48" s="12">
        <v>885.91</v>
      </c>
      <c r="Q48" s="15" t="s">
        <v>84</v>
      </c>
      <c r="R48" s="15">
        <v>0.93089999999999995</v>
      </c>
      <c r="V48" s="15" t="s">
        <v>334</v>
      </c>
      <c r="W48" s="25">
        <v>415</v>
      </c>
      <c r="X48" s="25"/>
      <c r="Y48" s="25" t="s">
        <v>275</v>
      </c>
      <c r="Z48" s="30"/>
      <c r="AA48" s="30"/>
      <c r="AB48" s="30">
        <v>750</v>
      </c>
      <c r="AC48" s="19" t="s">
        <v>84</v>
      </c>
      <c r="AD48" s="19" t="s">
        <v>152</v>
      </c>
    </row>
    <row r="49" spans="1:30" ht="45" x14ac:dyDescent="0.25">
      <c r="A49" s="2" t="s">
        <v>46</v>
      </c>
      <c r="B49" s="1" t="s">
        <v>84</v>
      </c>
      <c r="C49" s="36">
        <v>13791</v>
      </c>
      <c r="D49" s="14" t="s">
        <v>110</v>
      </c>
      <c r="I49" s="26" t="s">
        <v>110</v>
      </c>
      <c r="M49" s="10" t="s">
        <v>51</v>
      </c>
      <c r="P49" s="10" t="s">
        <v>335</v>
      </c>
      <c r="Q49" s="15" t="s">
        <v>110</v>
      </c>
      <c r="W49" s="14" t="s">
        <v>336</v>
      </c>
      <c r="X49" s="14">
        <v>0.01</v>
      </c>
      <c r="AD49" s="19" t="s">
        <v>150</v>
      </c>
    </row>
    <row r="50" spans="1:30" x14ac:dyDescent="0.25">
      <c r="A50" s="2" t="s">
        <v>47</v>
      </c>
      <c r="B50" s="1" t="s">
        <v>136</v>
      </c>
      <c r="C50" s="36">
        <v>12182</v>
      </c>
      <c r="D50" s="14" t="s">
        <v>110</v>
      </c>
      <c r="L50" s="4" t="s">
        <v>140</v>
      </c>
      <c r="N50" s="10" t="s">
        <v>141</v>
      </c>
      <c r="Q50" s="15" t="s">
        <v>260</v>
      </c>
      <c r="W50" s="14" t="s">
        <v>138</v>
      </c>
      <c r="AB50" s="29" t="s">
        <v>139</v>
      </c>
      <c r="AC50" s="19" t="s">
        <v>137</v>
      </c>
      <c r="AD50" s="19" t="s">
        <v>154</v>
      </c>
    </row>
    <row r="51" spans="1:30" ht="165" x14ac:dyDescent="0.25">
      <c r="A51" s="2" t="s">
        <v>48</v>
      </c>
      <c r="C51" s="36">
        <v>17414</v>
      </c>
      <c r="D51" s="14" t="s">
        <v>66</v>
      </c>
      <c r="E51" s="14" t="s">
        <v>159</v>
      </c>
      <c r="H51" s="14" t="s">
        <v>158</v>
      </c>
      <c r="I51" s="26" t="s">
        <v>198</v>
      </c>
      <c r="M51" s="10" t="s">
        <v>205</v>
      </c>
      <c r="N51" s="10" t="s">
        <v>54</v>
      </c>
      <c r="P51" s="42" t="s">
        <v>213</v>
      </c>
      <c r="Q51" s="15" t="s">
        <v>84</v>
      </c>
      <c r="V51" s="15" t="s">
        <v>259</v>
      </c>
      <c r="W51" s="32" t="s">
        <v>337</v>
      </c>
      <c r="X51" s="32"/>
      <c r="Y51" s="32"/>
      <c r="Z51" s="31"/>
      <c r="AA51" s="47">
        <v>0.28999999999999998</v>
      </c>
      <c r="AB51" s="29" t="s">
        <v>338</v>
      </c>
      <c r="AC51" s="19" t="s">
        <v>84</v>
      </c>
      <c r="AD51" s="19" t="s">
        <v>84</v>
      </c>
    </row>
    <row r="52" spans="1:30" x14ac:dyDescent="0.25">
      <c r="A52" s="2" t="s">
        <v>143</v>
      </c>
      <c r="D52" s="14" t="s">
        <v>82</v>
      </c>
    </row>
  </sheetData>
  <autoFilter ref="A1:AD52"/>
  <pageMargins left="0.7" right="0.7" top="0.75" bottom="0.75" header="0.3" footer="0.3"/>
  <pageSetup paperSize="5" pageOrder="overThenDown" orientation="landscape" r:id="rId1"/>
  <headerFooter>
    <oddHeader>&amp;CState Funding Formulas</oddHeader>
    <oddFooter>&amp;C5/13/2015&amp;R&amp;P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info</vt:lpstr>
      <vt:lpstr>'All info'!Print_Titles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Nnenna Ogbu</dc:creator>
  <cp:lastModifiedBy>Andrews, Susan</cp:lastModifiedBy>
  <cp:lastPrinted>2015-05-14T19:18:15Z</cp:lastPrinted>
  <dcterms:created xsi:type="dcterms:W3CDTF">2015-05-11T16:52:08Z</dcterms:created>
  <dcterms:modified xsi:type="dcterms:W3CDTF">2015-07-06T15:34:37Z</dcterms:modified>
</cp:coreProperties>
</file>